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Share\229\Ashxatanqain\Ջանջուղազյան և Զարգարյան\Հրապարակման\2022\11.2022\"/>
    </mc:Choice>
  </mc:AlternateContent>
  <bookViews>
    <workbookView xWindow="0" yWindow="0" windowWidth="28800" windowHeight="12330" firstSheet="1" activeTab="3"/>
  </bookViews>
  <sheets>
    <sheet name="Sheet1" sheetId="1" state="hidden" r:id="rId1"/>
    <sheet name="Պարտավորություններ" sheetId="10" r:id="rId2"/>
    <sheet name="բյուջետային երաշխիք" sheetId="3" r:id="rId3"/>
    <sheet name="Government Guarantees" sheetId="11" r:id="rId4"/>
  </sheets>
  <externalReferences>
    <externalReference r:id="rId5"/>
    <externalReference r:id="rId6"/>
  </externalReferences>
  <definedNames>
    <definedName name="aaa" localSheetId="1">#REF!</definedName>
    <definedName name="aaa">#REF!</definedName>
    <definedName name="ggg" localSheetId="1">#REF!</definedName>
    <definedName name="ggg">#REF!</definedName>
    <definedName name="print">#REF!</definedName>
    <definedName name="Table1" localSheetId="1">#REF!</definedName>
    <definedName name="Table1">#REF!</definedName>
    <definedName name="vlom">[2]VTB!#REF!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1" l="1"/>
  <c r="H4" i="11"/>
  <c r="G4" i="11"/>
  <c r="D21" i="3" l="1"/>
  <c r="I142" i="10" l="1"/>
  <c r="H142" i="10"/>
  <c r="J141" i="10"/>
  <c r="J140" i="10"/>
  <c r="J139" i="10"/>
  <c r="J138" i="10"/>
  <c r="J137" i="10"/>
  <c r="M136" i="10"/>
  <c r="L136" i="10"/>
  <c r="K136" i="10"/>
  <c r="I136" i="10"/>
  <c r="H136" i="10"/>
  <c r="M135" i="10"/>
  <c r="L135" i="10"/>
  <c r="K135" i="10"/>
  <c r="I135" i="10"/>
  <c r="H135" i="10"/>
  <c r="M133" i="10"/>
  <c r="L133" i="10"/>
  <c r="K133" i="10"/>
  <c r="I133" i="10"/>
  <c r="H133" i="10"/>
  <c r="M132" i="10"/>
  <c r="M131" i="10"/>
  <c r="L131" i="10"/>
  <c r="L130" i="10"/>
  <c r="K130" i="10"/>
  <c r="M130" i="10" s="1"/>
  <c r="M129" i="10"/>
  <c r="L129" i="10"/>
  <c r="M128" i="10"/>
  <c r="L128" i="10"/>
  <c r="M127" i="10"/>
  <c r="M126" i="10"/>
  <c r="L126" i="10"/>
  <c r="L125" i="10"/>
  <c r="M125" i="10" s="1"/>
  <c r="K125" i="10"/>
  <c r="L124" i="10"/>
  <c r="I124" i="10"/>
  <c r="M124" i="10" s="1"/>
  <c r="M123" i="10"/>
  <c r="L123" i="10"/>
  <c r="L122" i="10"/>
  <c r="I122" i="10"/>
  <c r="M122" i="10" s="1"/>
  <c r="H122" i="10"/>
  <c r="L121" i="10"/>
  <c r="K121" i="10"/>
  <c r="M121" i="10" s="1"/>
  <c r="M120" i="10"/>
  <c r="L120" i="10"/>
  <c r="L119" i="10"/>
  <c r="I119" i="10"/>
  <c r="M119" i="10" s="1"/>
  <c r="M118" i="10"/>
  <c r="L118" i="10"/>
  <c r="M117" i="10"/>
  <c r="L117" i="10"/>
  <c r="M116" i="10"/>
  <c r="I115" i="10"/>
  <c r="H115" i="10"/>
  <c r="L114" i="10"/>
  <c r="K114" i="10"/>
  <c r="M113" i="10"/>
  <c r="M112" i="10"/>
  <c r="L112" i="10"/>
  <c r="M111" i="10"/>
  <c r="L111" i="10"/>
  <c r="K111" i="10"/>
  <c r="I111" i="10"/>
  <c r="H111" i="10"/>
  <c r="M110" i="10"/>
  <c r="L110" i="10"/>
  <c r="K110" i="10"/>
  <c r="I110" i="10"/>
  <c r="H110" i="10"/>
  <c r="M108" i="10"/>
  <c r="L108" i="10"/>
  <c r="K108" i="10"/>
  <c r="I108" i="10"/>
  <c r="H108" i="10"/>
  <c r="M107" i="10"/>
  <c r="L107" i="10"/>
  <c r="M106" i="10"/>
  <c r="L106" i="10"/>
  <c r="M105" i="10"/>
  <c r="L105" i="10"/>
  <c r="M104" i="10"/>
  <c r="L103" i="10"/>
  <c r="L109" i="10" s="1"/>
  <c r="K103" i="10"/>
  <c r="I103" i="10"/>
  <c r="H103" i="10"/>
  <c r="K102" i="10"/>
  <c r="K109" i="10" s="1"/>
  <c r="H102" i="10"/>
  <c r="M101" i="10"/>
  <c r="L101" i="10"/>
  <c r="K101" i="10"/>
  <c r="I101" i="10"/>
  <c r="H101" i="10"/>
  <c r="I100" i="10"/>
  <c r="H100" i="10"/>
  <c r="K99" i="10"/>
  <c r="H99" i="10"/>
  <c r="I98" i="10"/>
  <c r="H98" i="10"/>
  <c r="M97" i="10"/>
  <c r="L97" i="10"/>
  <c r="M96" i="10"/>
  <c r="L96" i="10"/>
  <c r="M95" i="10"/>
  <c r="M94" i="10"/>
  <c r="M93" i="10"/>
  <c r="M89" i="10"/>
  <c r="L89" i="10"/>
  <c r="M88" i="10"/>
  <c r="L88" i="10"/>
  <c r="M87" i="10"/>
  <c r="L87" i="10"/>
  <c r="M86" i="10"/>
  <c r="L86" i="10"/>
  <c r="M85" i="10"/>
  <c r="M84" i="10"/>
  <c r="I83" i="10"/>
  <c r="M83" i="10" s="1"/>
  <c r="M82" i="10"/>
  <c r="M81" i="10"/>
  <c r="M80" i="10"/>
  <c r="M79" i="10"/>
  <c r="M78" i="10"/>
  <c r="I77" i="10"/>
  <c r="M76" i="10"/>
  <c r="M75" i="10"/>
  <c r="L74" i="10"/>
  <c r="L98" i="10" s="1"/>
  <c r="K74" i="10"/>
  <c r="M74" i="10" s="1"/>
  <c r="K73" i="10"/>
  <c r="M73" i="10" s="1"/>
  <c r="M72" i="10"/>
  <c r="L72" i="10"/>
  <c r="K72" i="10"/>
  <c r="I72" i="10"/>
  <c r="H72" i="10"/>
  <c r="I71" i="10"/>
  <c r="H71" i="10"/>
  <c r="I70" i="10"/>
  <c r="H70" i="10"/>
  <c r="I69" i="10"/>
  <c r="H69" i="10"/>
  <c r="M68" i="10"/>
  <c r="M67" i="10"/>
  <c r="M66" i="10"/>
  <c r="L65" i="10"/>
  <c r="L71" i="10" s="1"/>
  <c r="K65" i="10"/>
  <c r="K71" i="10" s="1"/>
  <c r="L64" i="10"/>
  <c r="L69" i="10" s="1"/>
  <c r="K64" i="10"/>
  <c r="K69" i="10" s="1"/>
  <c r="M63" i="10"/>
  <c r="L62" i="10"/>
  <c r="L70" i="10" s="1"/>
  <c r="K62" i="10"/>
  <c r="K70" i="10" s="1"/>
  <c r="M61" i="10"/>
  <c r="L61" i="10"/>
  <c r="K61" i="10"/>
  <c r="I61" i="10"/>
  <c r="H61" i="10"/>
  <c r="M60" i="10"/>
  <c r="L60" i="10"/>
  <c r="K60" i="10"/>
  <c r="I60" i="10"/>
  <c r="H60" i="10"/>
  <c r="L59" i="10"/>
  <c r="K59" i="10"/>
  <c r="I59" i="10"/>
  <c r="H59" i="10"/>
  <c r="L58" i="10"/>
  <c r="K58" i="10"/>
  <c r="I58" i="10"/>
  <c r="H58" i="10"/>
  <c r="M57" i="10"/>
  <c r="M56" i="10"/>
  <c r="M55" i="10"/>
  <c r="M54" i="10"/>
  <c r="M53" i="10"/>
  <c r="M52" i="10"/>
  <c r="L51" i="10"/>
  <c r="L141" i="10" s="1"/>
  <c r="K51" i="10"/>
  <c r="K141" i="10" s="1"/>
  <c r="I51" i="10"/>
  <c r="I141" i="10" s="1"/>
  <c r="H51" i="10"/>
  <c r="H141" i="10" s="1"/>
  <c r="L50" i="10"/>
  <c r="K50" i="10"/>
  <c r="I50" i="10"/>
  <c r="H50" i="10"/>
  <c r="I49" i="10"/>
  <c r="H48" i="10"/>
  <c r="H47" i="10"/>
  <c r="M46" i="10"/>
  <c r="M45" i="10"/>
  <c r="I44" i="10"/>
  <c r="M44" i="10" s="1"/>
  <c r="M43" i="10"/>
  <c r="M42" i="10"/>
  <c r="M41" i="10"/>
  <c r="L41" i="10"/>
  <c r="L40" i="10"/>
  <c r="K40" i="10"/>
  <c r="M40" i="10" s="1"/>
  <c r="K39" i="10"/>
  <c r="M39" i="10" s="1"/>
  <c r="K38" i="10"/>
  <c r="M38" i="10" s="1"/>
  <c r="M37" i="10"/>
  <c r="M36" i="10"/>
  <c r="K35" i="10"/>
  <c r="M35" i="10" s="1"/>
  <c r="K34" i="10"/>
  <c r="M34" i="10" s="1"/>
  <c r="M33" i="10"/>
  <c r="M32" i="10"/>
  <c r="M31" i="10"/>
  <c r="M30" i="10"/>
  <c r="M29" i="10"/>
  <c r="L28" i="10"/>
  <c r="K28" i="10"/>
  <c r="M28" i="10" s="1"/>
  <c r="M27" i="10"/>
  <c r="L27" i="10"/>
  <c r="K27" i="10"/>
  <c r="M26" i="10"/>
  <c r="M25" i="10"/>
  <c r="M24" i="10"/>
  <c r="M23" i="10"/>
  <c r="M22" i="10"/>
  <c r="M21" i="10"/>
  <c r="M20" i="10"/>
  <c r="M19" i="10"/>
  <c r="M18" i="10"/>
  <c r="M17" i="10"/>
  <c r="H17" i="10"/>
  <c r="M16" i="10"/>
  <c r="M15" i="10"/>
  <c r="H15" i="10"/>
  <c r="M14" i="10"/>
  <c r="M13" i="10"/>
  <c r="L13" i="10"/>
  <c r="M12" i="10"/>
  <c r="M11" i="10"/>
  <c r="M10" i="10"/>
  <c r="L9" i="10"/>
  <c r="I9" i="10"/>
  <c r="M9" i="10" s="1"/>
  <c r="M8" i="10"/>
  <c r="L8" i="10"/>
  <c r="L7" i="10"/>
  <c r="K7" i="10"/>
  <c r="M7" i="10" s="1"/>
  <c r="L6" i="10"/>
  <c r="K6" i="10"/>
  <c r="L5" i="10"/>
  <c r="K5" i="10"/>
  <c r="I5" i="10"/>
  <c r="L140" i="10" l="1"/>
  <c r="I139" i="10"/>
  <c r="M59" i="10"/>
  <c r="M50" i="10"/>
  <c r="M140" i="10" s="1"/>
  <c r="H49" i="10"/>
  <c r="H139" i="10" s="1"/>
  <c r="L99" i="10"/>
  <c r="I47" i="10"/>
  <c r="I137" i="10" s="1"/>
  <c r="L49" i="10"/>
  <c r="K100" i="10"/>
  <c r="H137" i="10"/>
  <c r="I99" i="10"/>
  <c r="M142" i="10"/>
  <c r="H140" i="10"/>
  <c r="M51" i="10"/>
  <c r="M141" i="10" s="1"/>
  <c r="M102" i="10"/>
  <c r="L134" i="10"/>
  <c r="K134" i="10"/>
  <c r="I134" i="10"/>
  <c r="K49" i="10"/>
  <c r="L48" i="10"/>
  <c r="L138" i="10" s="1"/>
  <c r="I48" i="10"/>
  <c r="I140" i="10"/>
  <c r="M58" i="10"/>
  <c r="L100" i="10"/>
  <c r="K47" i="10"/>
  <c r="L47" i="10"/>
  <c r="L137" i="10" s="1"/>
  <c r="M5" i="10"/>
  <c r="K140" i="10"/>
  <c r="M62" i="10"/>
  <c r="M70" i="10" s="1"/>
  <c r="M103" i="10"/>
  <c r="M114" i="10"/>
  <c r="M98" i="10"/>
  <c r="M48" i="10"/>
  <c r="M100" i="10"/>
  <c r="H134" i="10"/>
  <c r="K48" i="10"/>
  <c r="M49" i="10"/>
  <c r="M77" i="10"/>
  <c r="K98" i="10"/>
  <c r="H109" i="10"/>
  <c r="M115" i="10"/>
  <c r="M6" i="10"/>
  <c r="M64" i="10"/>
  <c r="I109" i="10"/>
  <c r="M65" i="10"/>
  <c r="I138" i="10" l="1"/>
  <c r="L139" i="10"/>
  <c r="K137" i="10"/>
  <c r="M109" i="10"/>
  <c r="K139" i="10"/>
  <c r="K138" i="10"/>
  <c r="M47" i="10"/>
  <c r="H138" i="10"/>
  <c r="M71" i="10"/>
  <c r="M139" i="10" s="1"/>
  <c r="M69" i="10"/>
  <c r="M99" i="10"/>
  <c r="M134" i="10"/>
  <c r="M137" i="10" l="1"/>
  <c r="M138" i="10"/>
  <c r="E14" i="3" l="1"/>
  <c r="E6" i="3" l="1"/>
  <c r="E8" i="3"/>
  <c r="E9" i="3"/>
  <c r="E10" i="3"/>
  <c r="E11" i="3"/>
  <c r="E12" i="3"/>
  <c r="E13" i="3"/>
  <c r="E21" i="3" l="1"/>
  <c r="F2" i="1"/>
  <c r="F3" i="1"/>
</calcChain>
</file>

<file path=xl/sharedStrings.xml><?xml version="1.0" encoding="utf-8"?>
<sst xmlns="http://schemas.openxmlformats.org/spreadsheetml/2006/main" count="868" uniqueCount="470">
  <si>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</si>
  <si>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</si>
  <si>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</si>
  <si>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</si>
  <si>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</si>
  <si>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</si>
  <si>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</si>
  <si>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</si>
  <si>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</si>
  <si>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</si>
  <si>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</si>
  <si>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</si>
  <si>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</si>
  <si>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</si>
  <si>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</si>
  <si>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</si>
  <si>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</si>
  <si>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</si>
  <si>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</si>
  <si>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</si>
  <si>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</si>
  <si>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</si>
  <si>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</si>
  <si>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</si>
  <si>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</si>
  <si>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</si>
  <si>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</si>
  <si>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</si>
  <si>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</si>
  <si>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</si>
  <si>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</si>
  <si>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</si>
  <si>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</si>
  <si>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</si>
  <si>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</si>
  <si>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</si>
  <si>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</si>
  <si>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</si>
  <si>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</si>
  <si>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</si>
  <si>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</si>
  <si>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</si>
  <si>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</si>
  <si>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</si>
  <si>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</si>
  <si>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</si>
  <si>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</si>
  <si>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</si>
  <si>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</si>
  <si>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</si>
  <si>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</si>
  <si>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</si>
  <si>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</si>
  <si>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</si>
  <si>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</si>
  <si>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</si>
  <si>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</si>
  <si>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</si>
  <si>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</si>
  <si>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</si>
  <si>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</si>
  <si>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</si>
  <si>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</si>
  <si>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</si>
  <si>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</si>
  <si>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</si>
  <si>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</si>
  <si>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</si>
  <si>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</si>
  <si>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</si>
  <si>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</si>
  <si>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</si>
  <si>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</si>
  <si>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</si>
  <si>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</si>
  <si>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</si>
  <si>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</si>
  <si>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</si>
  <si>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</si>
  <si>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</si>
  <si>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</si>
  <si>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</si>
  <si>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</si>
  <si>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</si>
  <si>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</si>
  <si>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</si>
  <si>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</si>
  <si>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</si>
  <si>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</si>
  <si>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</si>
  <si>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</si>
  <si>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</si>
  <si>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</si>
  <si>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</si>
  <si>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</si>
  <si>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</si>
  <si>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</si>
  <si>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</si>
  <si>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</si>
  <si>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</si>
  <si>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</si>
  <si>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</si>
  <si>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</si>
  <si>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</si>
  <si>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</si>
  <si>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</si>
  <si>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</si>
  <si>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</si>
  <si>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</si>
  <si>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</si>
  <si>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</si>
  <si>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</si>
  <si>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</si>
  <si>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</si>
  <si>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</si>
  <si>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</si>
  <si>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</si>
  <si>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</si>
  <si>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</si>
  <si>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</si>
  <si>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</si>
  <si>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</si>
  <si>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</si>
  <si>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</si>
  <si>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</si>
  <si>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</si>
  <si>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</si>
  <si>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</si>
  <si>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</si>
  <si>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</si>
  <si>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</si>
  <si>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</si>
  <si>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</si>
  <si>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</si>
  <si>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</si>
  <si>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</si>
  <si>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</si>
  <si>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</si>
  <si>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</si>
  <si>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</si>
  <si>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</si>
  <si>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</si>
  <si>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</si>
  <si>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</si>
  <si>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</si>
  <si>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</si>
  <si>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</si>
  <si>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</si>
  <si>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</si>
  <si>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</si>
  <si>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</si>
  <si>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</si>
  <si>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</si>
  <si>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</si>
  <si>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</si>
  <si>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</si>
  <si>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</si>
  <si>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</si>
  <si>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</si>
  <si>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</si>
  <si>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</si>
  <si>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</si>
  <si>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</si>
  <si>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</si>
  <si>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</si>
  <si>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</si>
  <si>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</si>
  <si>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</si>
  <si>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</si>
  <si>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</si>
  <si>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</si>
  <si>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</si>
  <si>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</si>
  <si>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</si>
  <si>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 xml:space="preserve">Լիբոր+4 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</si>
  <si>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</si>
  <si>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</si>
  <si>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</si>
  <si>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</si>
  <si>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</si>
  <si>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</si>
  <si>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</si>
  <si>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</si>
  <si>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</si>
  <si>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</si>
  <si>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</si>
  <si>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</si>
  <si>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</si>
  <si>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</si>
  <si>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</si>
  <si>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</si>
  <si>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</si>
  <si>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</si>
  <si>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</si>
  <si>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</si>
  <si>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</si>
  <si>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</si>
  <si>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</si>
  <si>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</si>
  <si>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</si>
  <si>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</si>
  <si>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</si>
  <si>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</si>
  <si>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</si>
  <si>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</si>
  <si>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</si>
  <si>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</si>
  <si>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</si>
  <si>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</si>
  <si>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</si>
  <si>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</si>
  <si>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</si>
  <si>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</si>
  <si>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</si>
  <si>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</si>
  <si>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</si>
  <si>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</si>
  <si>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</si>
  <si>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</si>
  <si>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</si>
  <si>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</si>
  <si>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</si>
  <si>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</si>
  <si>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</si>
  <si>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</si>
  <si>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</si>
  <si>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</si>
  <si>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</si>
  <si>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</si>
  <si>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</si>
  <si>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</si>
  <si>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</si>
  <si>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</si>
  <si>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</si>
  <si>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</si>
  <si>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</si>
  <si>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</si>
  <si>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</si>
  <si>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</si>
  <si>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</si>
  <si>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</si>
  <si>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</si>
  <si>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</si>
  <si>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</si>
  <si>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</si>
  <si>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</si>
  <si>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</si>
  <si>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</si>
  <si>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</si>
  <si>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</si>
  <si>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</si>
  <si>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</si>
  <si>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</si>
  <si>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</si>
  <si>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</si>
  <si>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</si>
  <si>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</si>
  <si>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</si>
  <si>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</si>
  <si>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</si>
  <si>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</si>
  <si>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</si>
  <si>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</si>
  <si>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</si>
  <si>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</si>
  <si>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</si>
  <si>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</si>
  <si>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</si>
  <si>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</si>
  <si>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</si>
  <si>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</si>
  <si>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</si>
  <si>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</si>
  <si>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</si>
  <si>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</si>
  <si>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</si>
  <si>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</si>
  <si>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</si>
  <si>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</si>
  <si>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</si>
  <si>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</si>
  <si>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</si>
  <si>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</si>
  <si>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«ԱՐՄՍՎԻՍԲԱՆԿ» ՓԲԸ</t>
  </si>
  <si>
    <t>«Պռոշյանի կոնյակի գործարան» ՍՊԸ</t>
  </si>
  <si>
    <t>«ՀԱՅԷԿՈՆՈՄԲԱՆԿ» ԲԲԸ</t>
  </si>
  <si>
    <t>15.10.2023թ.</t>
  </si>
  <si>
    <t>«Արտաշատ-Վինկոն» ՓԲԸ</t>
  </si>
  <si>
    <t>Ընդամենը</t>
  </si>
  <si>
    <t>22.10.2023թ.</t>
  </si>
  <si>
    <t>«Երասխի գինու գործարան»  ՍՊԸ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</si>
  <si>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</si>
  <si>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</si>
  <si>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</si>
  <si>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</si>
  <si>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</si>
  <si>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</si>
  <si>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«ՇԱՏՈ-ԱՌՆՈ» ՍՊԸ</t>
  </si>
  <si>
    <t>«Աստաֆյան Հոլդինգ» ՍՊԸ</t>
  </si>
  <si>
    <t>«Վեդի-Ալկո» ՓԲԸ</t>
  </si>
  <si>
    <t>«Գետափի գինու կոնյակի գործարան»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</si>
  <si>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</si>
  <si>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</si>
  <si>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</si>
  <si>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</si>
  <si>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</si>
  <si>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>Երաշխիքի գծով պարտավորության մնացորդ /դրամ/</t>
  </si>
  <si>
    <t>&lt;&lt; Երևանի  ավտոբուս&gt;&gt; ՓԲԸ</t>
  </si>
  <si>
    <t>Երևանի քաղաքային ավտոբուսներ ծրագիր</t>
  </si>
  <si>
    <t>ՎԶԵԲ</t>
  </si>
  <si>
    <t>16.04.2025թ.-16.10.2036թ.</t>
  </si>
  <si>
    <t>SOFR</t>
  </si>
  <si>
    <t>Գրավի առարկան հանդիսանալու է ձեռք վբերված հիմանկան միջոցները</t>
  </si>
  <si>
    <t>Ենթավարկի, բյուջետային վարկի, պայմանագրով հանձնված պարտավորության մարման ժամկետը</t>
  </si>
  <si>
    <t>01.07.2023-20.05.2033թ.թ.</t>
  </si>
  <si>
    <t>10.06.2023-08.11.2031թ.թ.</t>
  </si>
  <si>
    <t>10.06.2023-19.03.2033թ.թ.</t>
  </si>
  <si>
    <t>10.06.2023-03.09.2029թ.թ.</t>
  </si>
  <si>
    <t>Գյուղատնտեսության Զարգացման Միջազգային Հիմնադրամ</t>
  </si>
  <si>
    <t>Ենթակառուցվածքների և գյուղական ֆինանսավորման աջակցություն</t>
  </si>
  <si>
    <t>30.06.2025թ. 31.12.2044թ.</t>
  </si>
  <si>
    <t>Ենթավարկային պայմանագրի կնքման ամսաթիվը և համարը</t>
  </si>
  <si>
    <t>07.10.2009թ.</t>
  </si>
  <si>
    <t>25.06.1999թ.</t>
  </si>
  <si>
    <t>13.03.2015թ.</t>
  </si>
  <si>
    <t>12.03.2016թ.</t>
  </si>
  <si>
    <t>27.05.2016թ.</t>
  </si>
  <si>
    <t>18.11.2011թ.</t>
  </si>
  <si>
    <t>02.02.2015թ.</t>
  </si>
  <si>
    <t>11.08.2015թ.</t>
  </si>
  <si>
    <t>14.08.2015թ.</t>
  </si>
  <si>
    <t>06.02.2015թ.</t>
  </si>
  <si>
    <t>30.11.1999թ.</t>
  </si>
  <si>
    <t>12.05.2005թ.</t>
  </si>
  <si>
    <t>04.05.2007թ.</t>
  </si>
  <si>
    <t>12.07.2004թ.</t>
  </si>
  <si>
    <t>30.07.2012թ.</t>
  </si>
  <si>
    <t>21.06.2010թ.</t>
  </si>
  <si>
    <t>20.12.16թ. Ենթավարկային պայմանագիր</t>
  </si>
  <si>
    <t>11.07.2005թ.</t>
  </si>
  <si>
    <t xml:space="preserve">16.02.2004թ.  N4(48)/CP-2004 </t>
  </si>
  <si>
    <t xml:space="preserve"> 24.02.2004թ. N 1(01)CP-2004 վարկային պայմանագիր</t>
  </si>
  <si>
    <t>10.07.2020թ. N 8/20 վարկային պայմանագիր</t>
  </si>
  <si>
    <t>20.10.2021թ. N 10/21 վարկային պայմանագիր</t>
  </si>
  <si>
    <t>22.06.2015թ.  N 6/2015</t>
  </si>
  <si>
    <t>22.06.2016թ.</t>
  </si>
  <si>
    <t>14.06.2016թ.</t>
  </si>
  <si>
    <t>13.07.2010թ.</t>
  </si>
  <si>
    <t>30.05.2013թ.</t>
  </si>
  <si>
    <t>03.05.2011թ.</t>
  </si>
  <si>
    <t>09.02.2015թ.</t>
  </si>
  <si>
    <t xml:space="preserve">08.07.2009թ. Ֆինանսական գործակալության պայմանգիր և 21.02.11թ. Համաձայնագիր </t>
  </si>
  <si>
    <t>12.12.2012թ. Ֆինանսական գործակալության պայմանգիր KFW- AGRO</t>
  </si>
  <si>
    <t>28.07.2005թ. Ենթավարկային պայմանագիր</t>
  </si>
  <si>
    <t>13.01.1998թ. Սուբսիդավորմամբ ֆինանսավորման պայմանագիր</t>
  </si>
  <si>
    <t>11.01.2002թ.ՀԳՓԲ սուբսիդավորման համաձայնագիր</t>
  </si>
  <si>
    <t>28.07.2009թ.</t>
  </si>
  <si>
    <t>02.09.2015թ.</t>
  </si>
  <si>
    <t>05.05.2006         թիվ 1/2006</t>
  </si>
  <si>
    <t>22.12.2017թ.</t>
  </si>
  <si>
    <t>29.12.2017թ.</t>
  </si>
  <si>
    <t>15.02.2018թ.</t>
  </si>
  <si>
    <t xml:space="preserve">15.11.2012թ. </t>
  </si>
  <si>
    <t xml:space="preserve">03.02.2016թ. կնքված </t>
  </si>
  <si>
    <t>09.07.2011թ.  N 1/2011</t>
  </si>
  <si>
    <t>08.11.2012թ.  N 6/2012</t>
  </si>
  <si>
    <t>19.03.2014թ.  N 3/2014</t>
  </si>
  <si>
    <t>03.09.2015թ.   N 3/2015</t>
  </si>
  <si>
    <t>28.12.2015թ. N 11/2015</t>
  </si>
  <si>
    <t>05.02.2016թ.  N 2/2016</t>
  </si>
  <si>
    <t>ՀՀ և Զարգացման միջազգային ընկերակցության միջև 28.01.2005թ. կնքված N 653-AM փոխառության համաձայնագիր</t>
  </si>
  <si>
    <t>ՀՀ և Զարգացման միջազգային ընկերակցության միջև 20.07.2005թ. կնքված N 4095-AM փոխառության համաձայնագիր</t>
  </si>
  <si>
    <t>Հայաստանի Հանրապետության (ԳՖԿ ԾԻԳ ՊՀ) կողմից օգտագործված փոխառությունների համաձայնագիր</t>
  </si>
  <si>
    <t xml:space="preserve"> ԳԶՄՀ միջև  12.11.2014թ-ին կնքված &lt;&lt;Ենթակառուցվածքների և գյուղական ֆինանսավորման աջակցություն&gt;&gt;  համաձայնագիր</t>
  </si>
  <si>
    <t>07.04.2010թ. N 01 կնքված պահանջի իրավունքի զիջման մասին պայմանագիր, 27.12.2017թ. կնքված պայմանագրի փոփոխություն` Համաձայնագիր N 1, 17.04.2019թ. կնքված պայմանագրի փոփոխություն` Համաձայնագիր N 2, 09.04.2021թ. Կնքված հաշտության համաձայնագիր</t>
  </si>
  <si>
    <t>ՀՀ և Վերակառուցման և Զարգացման Եվրոպական Բանկի միջև 24.11.2021թ. կնքված Համաձայնագիր, 04.07.2022թ. Կնքված իրականացման համաձայնագիր</t>
  </si>
  <si>
    <t xml:space="preserve">29.12.2015թ. </t>
  </si>
  <si>
    <t>06.10.11թ. Պարտքի մարման համաձայնագիր</t>
  </si>
  <si>
    <t>29.09.2015թ N6/2015</t>
  </si>
  <si>
    <t>Պահանջի իրավունքի զիջման պայմանագիր 27.12.2016թ.</t>
  </si>
  <si>
    <t>31.03.2020թ
16/310320-1 ֆինանսական գործակալության պայմանագիր, 02.06.2020թ. Փոփոխություններ և լրացումներ կատարելու մասին համաձայնագիր</t>
  </si>
  <si>
    <t xml:space="preserve">25.12.2020թ. Փոխառության պայմանագիր Н420-20 ( ՀՀ կառավարության 27.05.202թ.   854-Լ որոշում, ՀՀ կառավարության 02․07․2020թ․ 1094-Ն որոշում, ՀՀ կառավարության 27.07.2020թ. 1233-Ն որոշում)            </t>
  </si>
  <si>
    <t xml:space="preserve">ՀՀ կառավարության 09.04.2020թ. թիվ 727-Ն որոշում                 </t>
  </si>
  <si>
    <t xml:space="preserve">ՀՀ կառավարության 09.04.2020թ. թիվ 727-Ն որոշում                        </t>
  </si>
  <si>
    <t xml:space="preserve">ՀՀ կառավարության 09.04.2020թ. թիվ 727-Ն որոշում                         </t>
  </si>
  <si>
    <t>ՀՀ կառավարության 09.04.2020թ. թիվ 727-Ն որոշում</t>
  </si>
  <si>
    <t>1993-2020թթ</t>
  </si>
  <si>
    <t>«ԻՆԵԿՈԲԱՆԿ» ՓԲԸ</t>
  </si>
  <si>
    <t>«ԻՋԵՎԱՆԻ ԳԻՆՈՒ, ԿՈՆՅԱԿԻ ԳՈՐԾԱՐԱՆ» ՓԲԸ</t>
  </si>
  <si>
    <t>12.12.2024թ.</t>
  </si>
  <si>
    <t>«Կորսան Կորվիամ Կոնստրուկսինո» ԲԸ-ի  հետ կապված և այլ վարկեր</t>
  </si>
  <si>
    <t xml:space="preserve">«ԵՐԵՎԱՆԻ ՇՈԿՈԼԱԴԻ ԳՈՐԾԱՐԱՆ» ՓԲԸ 
</t>
  </si>
  <si>
    <t>«ԱԿԲԱ ԲԱՆԿ» ԲԲԸ</t>
  </si>
  <si>
    <t>13.01.2024թ.</t>
  </si>
  <si>
    <t>24.01.2026թ.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</si>
  <si>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30.11.2022թ. դրությամբ </t>
  </si>
  <si>
    <t>Sofr+ փոփոխական մարժա</t>
  </si>
  <si>
    <t>Sofr + փոփոխական մարժա և 0.25% պարտավճար</t>
  </si>
  <si>
    <t>30.12.2023թ.</t>
  </si>
  <si>
    <t xml:space="preserve">      ՀՀ կառավարության 26․03․2020թ․ 356-Լ որոշում, ՀՀ կառավարության 25․03․2020թ․ 417-Լ որոշում,          Գործակալական պայմանագիր 16.1/050421-1      </t>
  </si>
  <si>
    <t>«ՊՌՈՇՅԱՆԻ ԿՈՆՅԱԿԻ ԳՈՐԾԱՐԱՆ» ՍՊԸ</t>
  </si>
  <si>
    <t>«ԵՐԱՍԽԻ ԳԻՆՈՒ ԳՈՐԾԱՐԱՆ» ՍՊԸ</t>
  </si>
  <si>
    <t>«ՄԱՊ» ՓԲԸ</t>
  </si>
  <si>
    <t>«ԱՐԱՐԱՏԻ ԳԻՆՈՒ ԳՈՐԾԱՐԱՆ» ՍՊԸ</t>
  </si>
  <si>
    <t>«ԷՎՈԿԱԲԱՆԿ» ՓԲԸ</t>
  </si>
  <si>
    <t>«ԱՐԴՇԻՆԲԱՆԿ» ԲԲԸ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</si>
  <si>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30.11.22թ. դրությամբ</t>
  </si>
  <si>
    <t>28.02.2026թ.</t>
  </si>
  <si>
    <t>01.0.2026թ.</t>
  </si>
  <si>
    <t>02.03.2026թ.</t>
  </si>
  <si>
    <t>ՀՀ կառավարության գործող երաշխիքները</t>
  </si>
  <si>
    <t>The existing guarantees of the Government of RA</t>
  </si>
  <si>
    <t>Действующие гарантии Правительства РА</t>
  </si>
  <si>
    <t>ՆԵՐՔԻՆ ԵՐԱՇԽԻՔՆԵՐ</t>
  </si>
  <si>
    <t>DOMESTIC GUARANTEES</t>
  </si>
  <si>
    <t>ВНУТРЕННИЕ ГАРАНТИИ</t>
  </si>
  <si>
    <t>այդ թվում՝</t>
  </si>
  <si>
    <t xml:space="preserve">  of which</t>
  </si>
  <si>
    <t xml:space="preserve">       в том числе</t>
  </si>
  <si>
    <t>«ԱՐՏԱՇԱՏ-ՎԻՆԿՈՆ» ՓԲԸ</t>
  </si>
  <si>
    <t>"ARTASHAT-VINCON" CJSC</t>
  </si>
  <si>
    <t>"ArmSwissBank" CJSC</t>
  </si>
  <si>
    <t>«АРТАШАТ-ВИНКОН» ЗАО</t>
  </si>
  <si>
    <t>«Армсвиссбанк» ЗАО</t>
  </si>
  <si>
    <t>"YERASKH WINE FACTORY" LLC</t>
  </si>
  <si>
    <t>«ЕРАСХСКИЙ ВИННЫЙ ЗАВОД» ООО</t>
  </si>
  <si>
    <t>«ԳԵՏԱՓԻ ԳԻՆՈՒ ԿՈՆՅԱԿԻ ԳՈՐԾԱՐԱՆ» ՍՊԸ</t>
  </si>
  <si>
    <t>"GETAP WINE AND BRANDY FACTORY" LLC</t>
  </si>
  <si>
    <t>«ГЕТАПСКИЙ ВИННОКОНЬЯЧНЫЙ ЗАВОД» ООО</t>
  </si>
  <si>
    <t>«ՎԵԴԻ ԱԼԿՈ» ՓԲԸ</t>
  </si>
  <si>
    <t>"VEDI ALCO" CJSC</t>
  </si>
  <si>
    <t>«ВЕДИ АЛКО» ЗАО</t>
  </si>
  <si>
    <t>«ՇԱՏՈ ԱՌՆՈ» ՍՊԸ</t>
  </si>
  <si>
    <t>«Հայաստանի զարգացման և ներդրումների Կորպորացիա» ՈՒՎԿ ՓԲԸ</t>
  </si>
  <si>
    <t>"SHATO ARNO" LLC</t>
  </si>
  <si>
    <t>"Development And Investments Corporation of Armenia" CJSC</t>
  </si>
  <si>
    <t>«ШАТО АРНО» ООО</t>
  </si>
  <si>
    <t>«Корпорация развития и инвестиций Армении» ЗАО</t>
  </si>
  <si>
    <t>«ԱՍՏԱՖՅԱՆ ՀՈԼԴԻՆԳ» ՍՊԸ</t>
  </si>
  <si>
    <t>"ASTAFYAN HOLDING" LLC</t>
  </si>
  <si>
    <t>«АСТАФЯН ХОЛДИНГ» ООО</t>
  </si>
  <si>
    <t>"PROSHYAN BRANDY FACTORY" LLC</t>
  </si>
  <si>
    <t>"Armeconombank" OJSC</t>
  </si>
  <si>
    <t>«ПРОШЯНСКИЙ КОНЬЯЧНЫЙ ЗАВОД» ООО</t>
  </si>
  <si>
    <t>«Армэкономбанк» ОАО</t>
  </si>
  <si>
    <t>«ԻՆԵԿՈԲԱՆԿ» ԲԲԸ</t>
  </si>
  <si>
    <t>"IJEYAN WINE AND BRANDY FACTORY" CJSC</t>
  </si>
  <si>
    <t>"Inecobank" CJSC</t>
  </si>
  <si>
    <t>«ИДЖЕВАНСКИЙ ВИННОКОНЬЯЧНЫЙ ЗАВОД» ЗАО</t>
  </si>
  <si>
    <t>«Инекобанк» ЗАО</t>
  </si>
  <si>
    <t>«ԵՐԵՎԱՆԻ ՇՈԿՈԼԱԴԻ ԳՈՐԾԱՐԱՆ» ՓԲԸ</t>
  </si>
  <si>
    <t>"YEREVAN CHOCOLATE COMPANY" CJSC</t>
  </si>
  <si>
    <t>Ереванская шоколадная компания</t>
  </si>
  <si>
    <t>"ARARAT WINE FACTORY CO.LTD</t>
  </si>
  <si>
    <t>"ACBA BANK" OJSC</t>
  </si>
  <si>
    <t>«Араратский  винный  завод» ООО</t>
  </si>
  <si>
    <t>"Акба банк" ОАО</t>
  </si>
  <si>
    <t>"MAP" COMPANY</t>
  </si>
  <si>
    <t>"Evocabank" CJSC</t>
  </si>
  <si>
    <t>«МАП»  ЗАО</t>
  </si>
  <si>
    <t>«Эвокабанк» ЗАО</t>
  </si>
  <si>
    <t>"Ardshinbank" CJSC</t>
  </si>
  <si>
    <t>«Ардшинбанк» ЗАО</t>
  </si>
  <si>
    <t>մլն ԱՄՆ դոլար</t>
  </si>
  <si>
    <t>USD mln</t>
  </si>
  <si>
    <t>млн долл. США</t>
  </si>
  <si>
    <t>01.01.2022-30.11.2022</t>
  </si>
  <si>
    <t>ՀՀ կառավարության կողմից երաշխիքների սպասարկման գծով կատարված վճարումներ՝ պայմանավորված պրինցիպալի կողմից իր վճարային պարտավորությունների չկատարմամբ</t>
  </si>
  <si>
    <t>Payments made by the Government of the Republic of Armenia on guarantees' servicing, due to default on payment obligations by the principal</t>
  </si>
  <si>
    <t>Платежи, осуществленные Правительством Республики Армения по обслуживанию предоставленных гарантий, обусловленные невыполнением своих платежных обязательств принципалом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</si>
</sst>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sz val="10"/>
      <name val="Arial Armenian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  <font>
      <b/>
      <i/>
      <sz val="14"/>
      <color theme="1"/>
      <name val="GHEA Grapalat"/>
      <family val="3"/>
    </font>
    <font>
      <b/>
      <sz val="12"/>
      <color indexed="56"/>
      <name val="GHEA Grapalat"/>
      <family val="3"/>
    </font>
    <font>
      <b/>
      <sz val="13"/>
      <color indexed="56"/>
      <name val="GHEA Grapalat"/>
      <family val="3"/>
    </font>
    <font>
      <b/>
      <sz val="10"/>
      <color indexed="8"/>
      <name val="GHEA Grapalat"/>
      <family val="3"/>
    </font>
    <font>
      <b/>
      <sz val="10"/>
      <color indexed="9"/>
      <name val="GHEA Grapalat"/>
      <family val="3"/>
    </font>
    <font>
      <sz val="11"/>
      <color indexed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10" fillId="0" borderId="0" xfId="0" applyFont="1"/>
    <xf numFmtId="0" fontId="14" fillId="0" borderId="0" xfId="0" applyFont="1"/>
    <xf numFmtId="0" fontId="14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165" fontId="16" fillId="0" borderId="2" xfId="5" applyNumberFormat="1" applyFont="1" applyBorder="1" applyAlignment="1">
      <alignment horizontal="center" vertical="center" wrapText="1"/>
    </xf>
    <xf numFmtId="165" fontId="16" fillId="0" borderId="2" xfId="2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43" fontId="2" fillId="0" borderId="0" xfId="2" applyFont="1" applyFill="1" applyProtection="1"/>
    <xf numFmtId="0" fontId="2" fillId="0" borderId="0" xfId="1" applyFont="1" applyFill="1" applyProtection="1"/>
    <xf numFmtId="1" fontId="8" fillId="0" borderId="0" xfId="1" applyNumberFormat="1" applyFont="1" applyFill="1" applyBorder="1" applyAlignment="1" applyProtection="1">
      <alignment horizontal="center" vertical="center" wrapText="1"/>
    </xf>
    <xf numFmtId="1" fontId="2" fillId="0" borderId="0" xfId="1" applyNumberFormat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centerContinuous"/>
    </xf>
    <xf numFmtId="0" fontId="2" fillId="0" borderId="0" xfId="1" applyNumberFormat="1" applyFont="1" applyFill="1" applyAlignment="1" applyProtection="1">
      <alignment horizontal="centerContinuous"/>
    </xf>
    <xf numFmtId="10" fontId="2" fillId="0" borderId="0" xfId="6" applyNumberFormat="1" applyFont="1" applyFill="1" applyAlignment="1" applyProtection="1">
      <alignment horizontal="centerContinuous"/>
    </xf>
    <xf numFmtId="0" fontId="7" fillId="0" borderId="0" xfId="1" applyFont="1" applyFill="1" applyAlignment="1" applyProtection="1"/>
    <xf numFmtId="2" fontId="7" fillId="0" borderId="17" xfId="1" applyNumberFormat="1" applyFont="1" applyFill="1" applyBorder="1" applyAlignment="1" applyProtection="1">
      <alignment vertical="center"/>
    </xf>
    <xf numFmtId="165" fontId="7" fillId="0" borderId="14" xfId="4" applyNumberFormat="1" applyFont="1" applyFill="1" applyBorder="1" applyAlignment="1" applyProtection="1">
      <alignment vertical="center"/>
    </xf>
    <xf numFmtId="165" fontId="7" fillId="0" borderId="17" xfId="4" applyNumberFormat="1" applyFont="1" applyFill="1" applyBorder="1" applyAlignment="1" applyProtection="1">
      <alignment vertical="center"/>
    </xf>
    <xf numFmtId="165" fontId="7" fillId="0" borderId="36" xfId="4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2" fontId="7" fillId="0" borderId="2" xfId="1" applyNumberFormat="1" applyFont="1" applyFill="1" applyBorder="1" applyAlignment="1" applyProtection="1">
      <alignment vertical="center"/>
    </xf>
    <xf numFmtId="165" fontId="7" fillId="0" borderId="2" xfId="4" applyNumberFormat="1" applyFont="1" applyFill="1" applyBorder="1" applyAlignment="1" applyProtection="1">
      <alignment vertical="center"/>
    </xf>
    <xf numFmtId="165" fontId="7" fillId="0" borderId="34" xfId="4" applyNumberFormat="1" applyFont="1" applyFill="1" applyBorder="1" applyAlignment="1" applyProtection="1">
      <alignment vertical="center"/>
    </xf>
    <xf numFmtId="2" fontId="7" fillId="0" borderId="10" xfId="1" applyNumberFormat="1" applyFont="1" applyFill="1" applyBorder="1" applyAlignment="1" applyProtection="1">
      <alignment vertical="center"/>
    </xf>
    <xf numFmtId="165" fontId="7" fillId="0" borderId="10" xfId="4" applyNumberFormat="1" applyFont="1" applyFill="1" applyBorder="1" applyAlignment="1" applyProtection="1">
      <alignment vertical="center"/>
    </xf>
    <xf numFmtId="165" fontId="7" fillId="0" borderId="38" xfId="4" applyNumberFormat="1" applyFont="1" applyFill="1" applyBorder="1" applyAlignment="1" applyProtection="1">
      <alignment vertical="center"/>
    </xf>
    <xf numFmtId="0" fontId="9" fillId="0" borderId="0" xfId="1" applyFont="1" applyFill="1" applyProtection="1"/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/>
    </xf>
    <xf numFmtId="165" fontId="7" fillId="0" borderId="3" xfId="4" applyNumberFormat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horizontal="center" vertical="center"/>
    </xf>
    <xf numFmtId="2" fontId="7" fillId="0" borderId="3" xfId="1" applyNumberFormat="1" applyFont="1" applyFill="1" applyBorder="1" applyAlignment="1" applyProtection="1">
      <alignment vertical="center"/>
    </xf>
    <xf numFmtId="165" fontId="7" fillId="0" borderId="33" xfId="4" applyNumberFormat="1" applyFont="1" applyFill="1" applyBorder="1" applyAlignment="1" applyProtection="1">
      <alignment vertical="center"/>
    </xf>
    <xf numFmtId="2" fontId="7" fillId="0" borderId="1" xfId="1" applyNumberFormat="1" applyFont="1" applyFill="1" applyBorder="1" applyAlignment="1" applyProtection="1">
      <alignment vertical="center"/>
    </xf>
    <xf numFmtId="165" fontId="7" fillId="0" borderId="35" xfId="4" applyNumberFormat="1" applyFont="1" applyFill="1" applyBorder="1" applyAlignment="1" applyProtection="1">
      <alignment vertical="center"/>
    </xf>
    <xf numFmtId="2" fontId="7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65" fontId="7" fillId="0" borderId="0" xfId="4" applyNumberFormat="1" applyFont="1" applyFill="1" applyBorder="1" applyAlignment="1" applyProtection="1">
      <alignment vertical="center"/>
    </xf>
    <xf numFmtId="0" fontId="2" fillId="0" borderId="0" xfId="1" applyNumberFormat="1" applyFont="1" applyFill="1" applyProtection="1"/>
    <xf numFmtId="10" fontId="2" fillId="0" borderId="0" xfId="6" applyNumberFormat="1" applyFont="1" applyFill="1" applyProtection="1"/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10" fontId="7" fillId="0" borderId="20" xfId="6" applyNumberFormat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43" fontId="7" fillId="0" borderId="0" xfId="2" applyFont="1" applyFill="1" applyAlignment="1" applyProtection="1"/>
    <xf numFmtId="0" fontId="2" fillId="0" borderId="3" xfId="1" applyFont="1" applyFill="1" applyBorder="1" applyAlignment="1" applyProtection="1">
      <alignment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/>
    </xf>
    <xf numFmtId="165" fontId="2" fillId="0" borderId="3" xfId="4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horizontal="center" vertical="center" wrapText="1"/>
    </xf>
    <xf numFmtId="1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3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center" wrapText="1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9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4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10" fontId="2" fillId="0" borderId="2" xfId="6" applyNumberFormat="1" applyFont="1" applyFill="1" applyBorder="1" applyAlignment="1" applyProtection="1">
      <alignment horizontal="center" vertical="center" wrapText="1"/>
    </xf>
    <xf numFmtId="43" fontId="2" fillId="0" borderId="0" xfId="2" applyFont="1" applyFill="1" applyBorder="1" applyProtection="1"/>
    <xf numFmtId="165" fontId="2" fillId="0" borderId="2" xfId="4" applyNumberFormat="1" applyFont="1" applyFill="1" applyBorder="1" applyAlignment="1" applyProtection="1">
      <alignment vertical="center"/>
    </xf>
    <xf numFmtId="165" fontId="2" fillId="0" borderId="2" xfId="4" applyNumberFormat="1" applyFont="1" applyFill="1" applyBorder="1" applyAlignment="1" applyProtection="1">
      <alignment vertical="center" wrapText="1"/>
    </xf>
    <xf numFmtId="165" fontId="2" fillId="0" borderId="3" xfId="4" applyNumberFormat="1" applyFont="1" applyFill="1" applyBorder="1" applyAlignment="1" applyProtection="1">
      <alignment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167" fontId="2" fillId="0" borderId="2" xfId="6" applyNumberFormat="1" applyFont="1" applyFill="1" applyBorder="1" applyAlignment="1" applyProtection="1">
      <alignment horizontal="center" vertical="center" wrapText="1"/>
    </xf>
    <xf numFmtId="43" fontId="2" fillId="0" borderId="2" xfId="4" applyFont="1" applyFill="1" applyBorder="1" applyAlignment="1" applyProtection="1">
      <alignment horizontal="center" vertical="center" wrapText="1"/>
    </xf>
    <xf numFmtId="165" fontId="2" fillId="0" borderId="2" xfId="7" applyNumberFormat="1" applyFont="1" applyFill="1" applyBorder="1" applyAlignment="1" applyProtection="1">
      <alignment horizontal="center" vertical="center" wrapText="1"/>
    </xf>
    <xf numFmtId="10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165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168" fontId="2" fillId="0" borderId="1" xfId="6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15" xfId="1" applyNumberFormat="1" applyFont="1" applyFill="1" applyBorder="1" applyAlignment="1" applyProtection="1">
      <alignment horizontal="center" vertical="center" wrapText="1"/>
    </xf>
    <xf numFmtId="0" fontId="2" fillId="0" borderId="3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2" fontId="2" fillId="0" borderId="15" xfId="1" applyNumberFormat="1" applyFont="1" applyFill="1" applyBorder="1" applyAlignment="1" applyProtection="1">
      <alignment horizontal="center" vertical="center" wrapText="1"/>
    </xf>
    <xf numFmtId="165" fontId="2" fillId="0" borderId="15" xfId="4" applyNumberFormat="1" applyFont="1" applyFill="1" applyBorder="1" applyAlignment="1" applyProtection="1">
      <alignment horizontal="center" vertical="center" wrapText="1"/>
    </xf>
    <xf numFmtId="165" fontId="2" fillId="0" borderId="15" xfId="4" applyNumberFormat="1" applyFont="1" applyFill="1" applyBorder="1" applyAlignment="1" applyProtection="1">
      <alignment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5" fontId="7" fillId="0" borderId="15" xfId="4" applyNumberFormat="1" applyFont="1" applyFill="1" applyBorder="1" applyAlignment="1" applyProtection="1">
      <alignment vertical="center"/>
    </xf>
    <xf numFmtId="0" fontId="2" fillId="0" borderId="9" xfId="1" applyFont="1" applyFill="1" applyBorder="1" applyAlignment="1" applyProtection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 wrapText="1"/>
    </xf>
    <xf numFmtId="1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2" xfId="1" quotePrefix="1" applyNumberFormat="1" applyFont="1" applyFill="1" applyBorder="1" applyAlignment="1" applyProtection="1">
      <alignment horizontal="center" vertical="center" wrapText="1"/>
    </xf>
    <xf numFmtId="1" fontId="2" fillId="0" borderId="34" xfId="1" applyNumberFormat="1" applyFont="1" applyFill="1" applyBorder="1" applyAlignment="1" applyProtection="1">
      <alignment horizontal="center" vertical="center" wrapText="1"/>
    </xf>
    <xf numFmtId="165" fontId="2" fillId="0" borderId="2" xfId="2" applyNumberFormat="1" applyFont="1" applyFill="1" applyBorder="1" applyAlignment="1" applyProtection="1">
      <alignment horizontal="left" vertical="center" wrapText="1"/>
    </xf>
    <xf numFmtId="9" fontId="2" fillId="0" borderId="2" xfId="8" applyFont="1" applyFill="1" applyBorder="1" applyAlignment="1" applyProtection="1">
      <alignment horizontal="center" vertical="center" wrapText="1"/>
    </xf>
    <xf numFmtId="43" fontId="9" fillId="0" borderId="0" xfId="2" applyFont="1" applyFill="1" applyProtection="1"/>
    <xf numFmtId="1" fontId="2" fillId="0" borderId="1" xfId="1" applyNumberFormat="1" applyFont="1" applyFill="1" applyBorder="1" applyAlignment="1" applyProtection="1">
      <alignment horizontal="center" vertical="center" wrapText="1"/>
    </xf>
    <xf numFmtId="167" fontId="2" fillId="0" borderId="2" xfId="8" applyNumberFormat="1" applyFont="1" applyFill="1" applyBorder="1" applyAlignment="1" applyProtection="1">
      <alignment horizontal="center" vertical="center" wrapText="1"/>
    </xf>
    <xf numFmtId="168" fontId="2" fillId="0" borderId="2" xfId="8" applyNumberFormat="1" applyFont="1" applyFill="1" applyBorder="1" applyAlignment="1" applyProtection="1">
      <alignment horizontal="center" vertical="center" wrapText="1"/>
    </xf>
    <xf numFmtId="165" fontId="2" fillId="0" borderId="1" xfId="3" applyNumberFormat="1" applyFont="1" applyFill="1" applyBorder="1" applyAlignment="1" applyProtection="1">
      <alignment horizontal="center" vertical="center" wrapText="1"/>
    </xf>
    <xf numFmtId="10" fontId="2" fillId="0" borderId="1" xfId="8" applyNumberFormat="1" applyFont="1" applyFill="1" applyBorder="1" applyAlignment="1" applyProtection="1">
      <alignment horizontal="center" vertical="center" wrapText="1"/>
    </xf>
    <xf numFmtId="167" fontId="2" fillId="0" borderId="1" xfId="8" applyNumberFormat="1" applyFont="1" applyFill="1" applyBorder="1" applyAlignment="1" applyProtection="1">
      <alignment horizontal="center" vertical="center" wrapText="1"/>
    </xf>
    <xf numFmtId="169" fontId="2" fillId="0" borderId="2" xfId="4" applyNumberFormat="1" applyFont="1" applyFill="1" applyBorder="1" applyAlignment="1" applyProtection="1">
      <alignment horizontal="center" vertical="center" wrapText="1"/>
    </xf>
    <xf numFmtId="165" fontId="2" fillId="0" borderId="1" xfId="2" applyNumberFormat="1" applyFont="1" applyFill="1" applyBorder="1" applyAlignment="1" applyProtection="1">
      <alignment horizontal="left" vertical="center" wrapText="1"/>
    </xf>
    <xf numFmtId="167" fontId="2" fillId="0" borderId="1" xfId="6" applyNumberFormat="1" applyFont="1" applyFill="1" applyBorder="1" applyAlignment="1" applyProtection="1">
      <alignment horizontal="center" vertical="center" wrapText="1"/>
    </xf>
    <xf numFmtId="1" fontId="2" fillId="0" borderId="35" xfId="1" applyNumberFormat="1" applyFont="1" applyFill="1" applyBorder="1" applyAlignment="1" applyProtection="1">
      <alignment horizontal="center" vertical="center" wrapText="1"/>
    </xf>
    <xf numFmtId="9" fontId="2" fillId="0" borderId="1" xfId="1" applyNumberFormat="1" applyFont="1" applyFill="1" applyBorder="1" applyAlignment="1" applyProtection="1">
      <alignment horizontal="center" vertical="center" wrapText="1"/>
    </xf>
    <xf numFmtId="167" fontId="2" fillId="0" borderId="15" xfId="6" applyNumberFormat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30" xfId="1" applyFont="1" applyFill="1" applyBorder="1" applyAlignment="1" applyProtection="1">
      <alignment horizontal="center" vertical="center" wrapText="1"/>
    </xf>
    <xf numFmtId="2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 applyProtection="1">
      <alignment horizontal="center" vertical="center" wrapText="1"/>
    </xf>
    <xf numFmtId="165" fontId="2" fillId="0" borderId="10" xfId="4" applyNumberFormat="1" applyFont="1" applyFill="1" applyBorder="1" applyAlignment="1" applyProtection="1">
      <alignment horizontal="center" vertical="center" wrapText="1"/>
    </xf>
    <xf numFmtId="165" fontId="2" fillId="0" borderId="10" xfId="3" applyNumberFormat="1" applyFont="1" applyFill="1" applyBorder="1" applyAlignment="1" applyProtection="1">
      <alignment horizontal="center" vertical="center" wrapText="1"/>
    </xf>
    <xf numFmtId="167" fontId="2" fillId="0" borderId="10" xfId="6" applyNumberFormat="1" applyFont="1" applyFill="1" applyBorder="1" applyAlignment="1" applyProtection="1">
      <alignment horizontal="center" vertical="center" wrapText="1"/>
    </xf>
    <xf numFmtId="165" fontId="2" fillId="0" borderId="10" xfId="1" applyNumberFormat="1" applyFont="1" applyFill="1" applyBorder="1" applyAlignment="1" applyProtection="1">
      <alignment horizontal="center" vertical="center" wrapText="1"/>
    </xf>
    <xf numFmtId="1" fontId="2" fillId="0" borderId="15" xfId="1" applyNumberFormat="1" applyFont="1" applyFill="1" applyBorder="1" applyAlignment="1" applyProtection="1">
      <alignment horizontal="center" vertical="center" wrapText="1"/>
    </xf>
    <xf numFmtId="165" fontId="2" fillId="0" borderId="15" xfId="2" applyNumberFormat="1" applyFont="1" applyFill="1" applyBorder="1" applyAlignment="1" applyProtection="1">
      <alignment horizontal="left" vertical="center" wrapText="1"/>
    </xf>
    <xf numFmtId="10" fontId="2" fillId="0" borderId="15" xfId="6" applyNumberFormat="1" applyFont="1" applyFill="1" applyBorder="1" applyAlignment="1" applyProtection="1">
      <alignment horizontal="center" vertical="center" wrapText="1"/>
    </xf>
    <xf numFmtId="1" fontId="2" fillId="0" borderId="39" xfId="1" applyNumberFormat="1" applyFont="1" applyFill="1" applyBorder="1" applyAlignment="1" applyProtection="1">
      <alignment horizontal="center" vertical="center" wrapText="1"/>
    </xf>
    <xf numFmtId="43" fontId="9" fillId="0" borderId="0" xfId="9" applyFont="1" applyFill="1" applyProtection="1"/>
    <xf numFmtId="0" fontId="2" fillId="0" borderId="5" xfId="1" applyFont="1" applyFill="1" applyBorder="1" applyAlignment="1" applyProtection="1">
      <alignment horizontal="center" vertical="center" wrapText="1"/>
    </xf>
    <xf numFmtId="1" fontId="2" fillId="0" borderId="19" xfId="1" applyNumberFormat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165" fontId="2" fillId="0" borderId="20" xfId="4" applyNumberFormat="1" applyFont="1" applyFill="1" applyBorder="1" applyAlignment="1" applyProtection="1">
      <alignment horizontal="center" vertical="center" wrapText="1"/>
    </xf>
    <xf numFmtId="165" fontId="2" fillId="0" borderId="20" xfId="3" applyNumberFormat="1" applyFont="1" applyFill="1" applyBorder="1" applyAlignment="1" applyProtection="1">
      <alignment horizontal="center" vertical="center" wrapText="1"/>
    </xf>
    <xf numFmtId="168" fontId="2" fillId="0" borderId="20" xfId="8" applyNumberFormat="1" applyFont="1" applyFill="1" applyBorder="1" applyAlignment="1" applyProtection="1">
      <alignment horizontal="center" vertical="center" wrapText="1"/>
    </xf>
    <xf numFmtId="165" fontId="2" fillId="0" borderId="6" xfId="2" applyNumberFormat="1" applyFont="1" applyFill="1" applyBorder="1" applyAlignment="1" applyProtection="1">
      <alignment horizontal="left"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1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2" fontId="7" fillId="0" borderId="25" xfId="1" applyNumberFormat="1" applyFont="1" applyFill="1" applyBorder="1" applyAlignment="1" applyProtection="1">
      <alignment horizontal="center" vertical="center"/>
    </xf>
    <xf numFmtId="2" fontId="7" fillId="0" borderId="29" xfId="1" applyNumberFormat="1" applyFont="1" applyFill="1" applyBorder="1" applyAlignment="1" applyProtection="1">
      <alignment horizontal="center" vertical="center"/>
    </xf>
    <xf numFmtId="2" fontId="7" fillId="0" borderId="12" xfId="1" applyNumberFormat="1" applyFont="1" applyFill="1" applyBorder="1" applyAlignment="1" applyProtection="1">
      <alignment horizontal="center" vertical="center"/>
    </xf>
    <xf numFmtId="1" fontId="8" fillId="0" borderId="9" xfId="1" applyNumberFormat="1" applyFont="1" applyFill="1" applyBorder="1" applyAlignment="1" applyProtection="1">
      <alignment horizontal="center" vertical="center" wrapText="1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1" fontId="8" fillId="0" borderId="7" xfId="1" applyNumberFormat="1" applyFont="1" applyFill="1" applyBorder="1" applyAlignment="1" applyProtection="1">
      <alignment horizontal="center" vertical="center" wrapText="1"/>
    </xf>
    <xf numFmtId="1" fontId="8" fillId="0" borderId="2" xfId="1" applyNumberFormat="1" applyFont="1" applyFill="1" applyBorder="1" applyAlignment="1" applyProtection="1">
      <alignment horizontal="center" vertical="center" wrapText="1"/>
    </xf>
    <xf numFmtId="1" fontId="8" fillId="0" borderId="11" xfId="1" applyNumberFormat="1" applyFont="1" applyFill="1" applyBorder="1" applyAlignment="1" applyProtection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2" fontId="7" fillId="0" borderId="28" xfId="1" applyNumberFormat="1" applyFont="1" applyFill="1" applyBorder="1" applyAlignment="1" applyProtection="1">
      <alignment horizontal="center" vertical="center"/>
    </xf>
    <xf numFmtId="2" fontId="7" fillId="0" borderId="32" xfId="1" applyNumberFormat="1" applyFont="1" applyFill="1" applyBorder="1" applyAlignment="1" applyProtection="1">
      <alignment horizontal="center" vertical="center"/>
    </xf>
    <xf numFmtId="2" fontId="7" fillId="0" borderId="23" xfId="1" applyNumberFormat="1" applyFont="1" applyFill="1" applyBorder="1" applyAlignment="1" applyProtection="1">
      <alignment horizontal="center" vertical="center"/>
    </xf>
    <xf numFmtId="2" fontId="7" fillId="0" borderId="16" xfId="1" applyNumberFormat="1" applyFont="1" applyFill="1" applyBorder="1" applyAlignment="1" applyProtection="1">
      <alignment horizontal="center" vertical="center"/>
    </xf>
    <xf numFmtId="2" fontId="7" fillId="0" borderId="41" xfId="1" applyNumberFormat="1" applyFont="1" applyFill="1" applyBorder="1" applyAlignment="1" applyProtection="1">
      <alignment horizontal="center" vertical="center"/>
    </xf>
    <xf numFmtId="2" fontId="7" fillId="0" borderId="31" xfId="1" applyNumberFormat="1" applyFont="1" applyFill="1" applyBorder="1" applyAlignment="1" applyProtection="1">
      <alignment horizontal="center" vertical="center"/>
    </xf>
    <xf numFmtId="2" fontId="7" fillId="0" borderId="13" xfId="1" applyNumberFormat="1" applyFont="1" applyFill="1" applyBorder="1" applyAlignment="1" applyProtection="1">
      <alignment horizontal="center" vertical="center"/>
    </xf>
    <xf numFmtId="1" fontId="8" fillId="0" borderId="40" xfId="1" applyNumberFormat="1" applyFont="1" applyFill="1" applyBorder="1" applyAlignment="1" applyProtection="1">
      <alignment horizontal="center" vertical="center" wrapText="1"/>
    </xf>
    <xf numFmtId="1" fontId="8" fillId="0" borderId="17" xfId="1" applyNumberFormat="1" applyFont="1" applyFill="1" applyBorder="1" applyAlignment="1" applyProtection="1">
      <alignment horizontal="center" vertical="center" wrapText="1"/>
    </xf>
    <xf numFmtId="1" fontId="8" fillId="0" borderId="36" xfId="1" applyNumberFormat="1" applyFont="1" applyFill="1" applyBorder="1" applyAlignment="1" applyProtection="1">
      <alignment horizontal="center" vertical="center" wrapText="1"/>
    </xf>
    <xf numFmtId="1" fontId="8" fillId="0" borderId="34" xfId="1" applyNumberFormat="1" applyFont="1" applyFill="1" applyBorder="1" applyAlignment="1" applyProtection="1">
      <alignment horizontal="center" vertical="center" wrapText="1"/>
    </xf>
    <xf numFmtId="1" fontId="8" fillId="0" borderId="35" xfId="1" applyNumberFormat="1" applyFont="1" applyFill="1" applyBorder="1" applyAlignment="1" applyProtection="1">
      <alignment horizontal="center" vertical="center" wrapText="1"/>
    </xf>
    <xf numFmtId="2" fontId="7" fillId="0" borderId="27" xfId="1" applyNumberFormat="1" applyFont="1" applyFill="1" applyBorder="1" applyAlignment="1" applyProtection="1">
      <alignment horizontal="center" vertical="center"/>
    </xf>
    <xf numFmtId="2" fontId="7" fillId="0" borderId="3" xfId="1" applyNumberFormat="1" applyFont="1" applyFill="1" applyBorder="1" applyAlignment="1" applyProtection="1">
      <alignment horizontal="center" vertical="center"/>
    </xf>
    <xf numFmtId="2" fontId="7" fillId="0" borderId="2" xfId="1" applyNumberFormat="1" applyFont="1" applyFill="1" applyBorder="1" applyAlignment="1" applyProtection="1">
      <alignment horizontal="center" vertical="center"/>
    </xf>
    <xf numFmtId="2" fontId="7" fillId="0" borderId="26" xfId="1" applyNumberFormat="1" applyFont="1" applyFill="1" applyBorder="1" applyAlignment="1" applyProtection="1">
      <alignment horizontal="center" vertical="center"/>
    </xf>
    <xf numFmtId="2" fontId="7" fillId="0" borderId="1" xfId="1" applyNumberFormat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</xf>
    <xf numFmtId="1" fontId="8" fillId="0" borderId="10" xfId="1" applyNumberFormat="1" applyFont="1" applyFill="1" applyBorder="1" applyAlignment="1" applyProtection="1">
      <alignment horizontal="center" vertical="center" wrapText="1"/>
    </xf>
    <xf numFmtId="2" fontId="7" fillId="0" borderId="4" xfId="1" applyNumberFormat="1" applyFont="1" applyFill="1" applyBorder="1" applyAlignment="1" applyProtection="1">
      <alignment horizontal="center" vertical="center"/>
    </xf>
    <xf numFmtId="2" fontId="7" fillId="0" borderId="17" xfId="1" applyNumberFormat="1" applyFont="1" applyFill="1" applyBorder="1" applyAlignment="1" applyProtection="1">
      <alignment horizontal="center" vertical="center"/>
    </xf>
    <xf numFmtId="2" fontId="7" fillId="0" borderId="10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1" fillId="0" borderId="24" xfId="1" applyFont="1" applyFill="1" applyBorder="1" applyAlignment="1" applyProtection="1">
      <alignment horizontal="center" vertical="center" wrapText="1"/>
    </xf>
    <xf numFmtId="0" fontId="2" fillId="0" borderId="35" xfId="1" applyFont="1" applyFill="1" applyBorder="1" applyAlignment="1" applyProtection="1">
      <alignment horizontal="center" vertical="center" wrapText="1"/>
    </xf>
    <xf numFmtId="0" fontId="2" fillId="0" borderId="33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" fontId="2" fillId="0" borderId="15" xfId="1" applyNumberFormat="1" applyFont="1" applyFill="1" applyBorder="1" applyAlignment="1" applyProtection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2" fontId="2" fillId="0" borderId="15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1" fontId="2" fillId="0" borderId="35" xfId="1" applyNumberFormat="1" applyFont="1" applyFill="1" applyBorder="1" applyAlignment="1" applyProtection="1">
      <alignment horizontal="center" vertical="center" wrapText="1"/>
    </xf>
    <xf numFmtId="1" fontId="2" fillId="0" borderId="39" xfId="1" applyNumberFormat="1" applyFont="1" applyFill="1" applyBorder="1" applyAlignment="1" applyProtection="1">
      <alignment horizontal="center" vertical="center" wrapText="1"/>
    </xf>
    <xf numFmtId="1" fontId="2" fillId="0" borderId="33" xfId="1" applyNumberFormat="1" applyFont="1" applyFill="1" applyBorder="1" applyAlignment="1" applyProtection="1">
      <alignment horizontal="center" vertical="center" wrapText="1"/>
    </xf>
    <xf numFmtId="0" fontId="2" fillId="0" borderId="21" xfId="1" applyFont="1" applyFill="1" applyBorder="1" applyAlignment="1" applyProtection="1">
      <alignment horizontal="center" vertical="center" wrapText="1"/>
    </xf>
    <xf numFmtId="1" fontId="2" fillId="0" borderId="24" xfId="1" applyNumberFormat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 applyProtection="1">
      <alignment horizontal="center" vertical="center" wrapText="1"/>
    </xf>
    <xf numFmtId="0" fontId="2" fillId="0" borderId="37" xfId="1" applyFont="1" applyFill="1" applyBorder="1" applyAlignment="1" applyProtection="1">
      <alignment horizontal="center" vertical="center" wrapText="1"/>
    </xf>
    <xf numFmtId="10" fontId="2" fillId="0" borderId="1" xfId="6" applyNumberFormat="1" applyFont="1" applyFill="1" applyBorder="1" applyAlignment="1" applyProtection="1">
      <alignment horizontal="center" vertical="center" wrapText="1"/>
    </xf>
    <xf numFmtId="10" fontId="2" fillId="0" borderId="24" xfId="6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165" fontId="2" fillId="0" borderId="3" xfId="4" applyNumberFormat="1" applyFont="1" applyFill="1" applyBorder="1" applyAlignment="1" applyProtection="1">
      <alignment horizontal="center" vertical="center" wrapText="1"/>
    </xf>
    <xf numFmtId="167" fontId="2" fillId="0" borderId="1" xfId="6" applyNumberFormat="1" applyFont="1" applyFill="1" applyBorder="1" applyAlignment="1" applyProtection="1">
      <alignment horizontal="center" vertical="center" wrapText="1"/>
    </xf>
    <xf numFmtId="167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10" fontId="2" fillId="0" borderId="3" xfId="6" applyNumberFormat="1" applyFont="1" applyFill="1" applyBorder="1" applyAlignment="1" applyProtection="1">
      <alignment horizontal="center" vertical="center" wrapText="1"/>
    </xf>
    <xf numFmtId="10" fontId="2" fillId="0" borderId="15" xfId="6" applyNumberFormat="1" applyFont="1" applyFill="1" applyBorder="1" applyAlignment="1" applyProtection="1">
      <alignment horizontal="center" vertical="center" wrapText="1"/>
    </xf>
    <xf numFmtId="9" fontId="2" fillId="0" borderId="2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Border="1"/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left" vertical="center" wrapText="1" indent="3"/>
    </xf>
    <xf numFmtId="169" fontId="7" fillId="0" borderId="29" xfId="12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169" fontId="2" fillId="0" borderId="29" xfId="1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 indent="6"/>
    </xf>
    <xf numFmtId="0" fontId="14" fillId="0" borderId="2" xfId="0" applyFont="1" applyFill="1" applyBorder="1" applyAlignment="1">
      <alignment horizontal="left" vertical="center" wrapText="1"/>
    </xf>
    <xf numFmtId="169" fontId="2" fillId="0" borderId="2" xfId="1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169" fontId="2" fillId="0" borderId="0" xfId="1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6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/>
    <xf numFmtId="0" fontId="14" fillId="0" borderId="2" xfId="0" applyFont="1" applyFill="1" applyBorder="1" applyAlignment="1">
      <alignment horizontal="left" vertical="center" wrapText="1"/>
    </xf>
    <xf numFmtId="165" fontId="2" fillId="0" borderId="2" xfId="12" applyNumberFormat="1" applyFont="1" applyFill="1" applyBorder="1" applyAlignment="1">
      <alignment horizontal="right" vertical="center" wrapText="1"/>
    </xf>
    <xf numFmtId="169" fontId="2" fillId="0" borderId="16" xfId="12" applyNumberFormat="1" applyFont="1" applyFill="1" applyBorder="1" applyAlignment="1">
      <alignment horizontal="center" vertical="center" wrapText="1"/>
    </xf>
    <xf numFmtId="169" fontId="7" fillId="0" borderId="2" xfId="12" applyNumberFormat="1" applyFont="1" applyFill="1" applyBorder="1" applyAlignment="1">
      <alignment horizontal="center" vertical="center" wrapText="1"/>
    </xf>
  </cellXfs>
  <cellStyles count="16">
    <cellStyle name="Comma" xfId="5" builtinId="3"/>
    <cellStyle name="Comma 10" xfId="12"/>
    <cellStyle name="Comma 2" xfId="13"/>
    <cellStyle name="Comma 2 2" xfId="15"/>
    <cellStyle name="Comma 2 2 2" xfId="2"/>
    <cellStyle name="Comma 4 2" xfId="3"/>
    <cellStyle name="Comma 7 2 2" xfId="4"/>
    <cellStyle name="Comma 9" xfId="14"/>
    <cellStyle name="Normal" xfId="0" builtinId="0"/>
    <cellStyle name="Normal 14 2" xfId="1"/>
    <cellStyle name="Normal 2" xfId="10"/>
    <cellStyle name="Normal 3" xfId="11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ligation/Share/229/Ashxatanqain/&#1355;&#1377;&#1398;&#1403;&#1400;&#1410;&#1394;&#1377;&#1382;&#1397;&#1377;&#1398;%20&#1415;%20&#1334;&#1377;&#1408;&#1379;&#1377;&#1408;&#1397;&#1377;&#1398;/subloans/Subloans_2022/11.30.2022/Subloans_Guarantees..11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ayane/Gayane_official/save/VTB-verjnakan/VTB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ernment Guarantees"/>
      <sheetName val="Subloan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2014"/>
      <sheetName val="VTB kanxatesum"/>
      <sheetName val="Report 2013,2015"/>
      <sheetName val="Sheet2"/>
      <sheetName val="VTB"/>
      <sheetName val="Report 2012"/>
      <sheetName val="Sheet1"/>
      <sheetName val="Report 2011"/>
      <sheetName val="Report 2010"/>
      <sheetName val="Report 2009"/>
      <sheetName val="Report 2008"/>
      <sheetName val="VTB hamemat"/>
      <sheetName val="VTB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54" t="s">
        <v>16</v>
      </c>
      <c r="B1" s="154"/>
      <c r="C1" s="154"/>
      <c r="D1" s="154"/>
      <c r="E1" s="154"/>
      <c r="F1" s="154"/>
      <c r="G1" s="154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52" t="s">
        <v>0</v>
      </c>
      <c r="B5" s="152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53"/>
      <c r="B6" s="153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46" sqref="H46"/>
    </sheetView>
  </sheetViews>
  <sheetFormatPr defaultRowHeight="13.5" outlineLevelRow="1" x14ac:dyDescent="0.25"/>
  <cols>
    <col min="1" max="1" width="6.85546875" style="24" customWidth="1"/>
    <col min="2" max="2" width="23.7109375" style="26" customWidth="1"/>
    <col min="3" max="3" width="23.42578125" style="24" customWidth="1"/>
    <col min="4" max="4" width="16.140625" style="24" customWidth="1"/>
    <col min="5" max="5" width="18.85546875" style="54" customWidth="1"/>
    <col min="6" max="6" width="20.140625" style="24" customWidth="1"/>
    <col min="7" max="7" width="16.42578125" style="24" bestFit="1" customWidth="1"/>
    <col min="8" max="8" width="19.7109375" style="24" customWidth="1"/>
    <col min="9" max="9" width="20.28515625" style="24" customWidth="1"/>
    <col min="10" max="10" width="21.7109375" style="55" customWidth="1"/>
    <col min="11" max="11" width="18.5703125" style="24" customWidth="1"/>
    <col min="12" max="12" width="17.7109375" style="24" bestFit="1" customWidth="1"/>
    <col min="13" max="13" width="21.5703125" style="24" customWidth="1"/>
    <col min="14" max="14" width="26.42578125" style="24" customWidth="1"/>
    <col min="15" max="15" width="23.5703125" style="23" customWidth="1"/>
    <col min="16" max="16" width="21.85546875" style="24" customWidth="1"/>
    <col min="17" max="16384" width="9.140625" style="24"/>
  </cols>
  <sheetData>
    <row r="1" spans="1:16" ht="22.5" x14ac:dyDescent="0.4">
      <c r="A1" s="224" t="s">
        <v>18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6" ht="49.5" customHeight="1" x14ac:dyDescent="0.4">
      <c r="A2" s="225" t="s">
        <v>395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6" ht="14.25" thickBot="1" x14ac:dyDescent="0.3">
      <c r="A3" s="27"/>
      <c r="C3" s="27"/>
      <c r="D3" s="27"/>
      <c r="E3" s="28"/>
      <c r="F3" s="27"/>
      <c r="G3" s="27"/>
      <c r="H3" s="27"/>
      <c r="I3" s="27"/>
      <c r="J3" s="29"/>
      <c r="K3" s="27"/>
      <c r="L3" s="27"/>
      <c r="M3" s="27"/>
      <c r="N3" s="27"/>
    </row>
    <row r="4" spans="1:16" s="30" customFormat="1" ht="114" customHeight="1" thickBot="1" x14ac:dyDescent="0.3">
      <c r="A4" s="56" t="s">
        <v>19</v>
      </c>
      <c r="B4" s="57" t="s">
        <v>20</v>
      </c>
      <c r="C4" s="57" t="s">
        <v>21</v>
      </c>
      <c r="D4" s="57" t="s">
        <v>22</v>
      </c>
      <c r="E4" s="57" t="s">
        <v>321</v>
      </c>
      <c r="F4" s="57" t="s">
        <v>313</v>
      </c>
      <c r="G4" s="57" t="s">
        <v>23</v>
      </c>
      <c r="H4" s="57" t="s">
        <v>24</v>
      </c>
      <c r="I4" s="57" t="s">
        <v>25</v>
      </c>
      <c r="J4" s="58" t="s">
        <v>26</v>
      </c>
      <c r="K4" s="57" t="s">
        <v>27</v>
      </c>
      <c r="L4" s="57" t="s">
        <v>28</v>
      </c>
      <c r="M4" s="57" t="s">
        <v>29</v>
      </c>
      <c r="N4" s="59" t="s">
        <v>30</v>
      </c>
      <c r="O4" s="60"/>
    </row>
    <row r="5" spans="1:16" ht="60" customHeight="1" outlineLevel="1" x14ac:dyDescent="0.25">
      <c r="A5" s="199">
        <v>1</v>
      </c>
      <c r="B5" s="226" t="s">
        <v>31</v>
      </c>
      <c r="C5" s="61" t="s">
        <v>32</v>
      </c>
      <c r="D5" s="196" t="s">
        <v>33</v>
      </c>
      <c r="E5" s="211" t="s">
        <v>322</v>
      </c>
      <c r="F5" s="62" t="s">
        <v>34</v>
      </c>
      <c r="G5" s="63" t="s">
        <v>35</v>
      </c>
      <c r="H5" s="64">
        <v>7300000</v>
      </c>
      <c r="I5" s="65">
        <f>5822389.5+13412.1+4470.7+716451.75+24588.85+716451.75+2235.35</f>
        <v>7299999.9999999991</v>
      </c>
      <c r="J5" s="66" t="s">
        <v>36</v>
      </c>
      <c r="K5" s="65">
        <f>595000+119000+119000</f>
        <v>833000</v>
      </c>
      <c r="L5" s="65">
        <f>533233.16+25143.75+24697.5</f>
        <v>583074.41</v>
      </c>
      <c r="M5" s="64">
        <f t="shared" ref="M5:M33" si="0">I5-K5</f>
        <v>6466999.9999999991</v>
      </c>
      <c r="N5" s="67" t="s">
        <v>37</v>
      </c>
      <c r="P5" s="23"/>
    </row>
    <row r="6" spans="1:16" ht="75.75" customHeight="1" outlineLevel="1" x14ac:dyDescent="0.25">
      <c r="A6" s="216"/>
      <c r="B6" s="194"/>
      <c r="C6" s="68" t="s">
        <v>38</v>
      </c>
      <c r="D6" s="219"/>
      <c r="E6" s="218"/>
      <c r="F6" s="69" t="s">
        <v>39</v>
      </c>
      <c r="G6" s="70" t="s">
        <v>35</v>
      </c>
      <c r="H6" s="65">
        <v>7300000</v>
      </c>
      <c r="I6" s="65">
        <v>7299999.9999999981</v>
      </c>
      <c r="J6" s="71" t="s">
        <v>40</v>
      </c>
      <c r="K6" s="65">
        <f>5474999.9+304166.7+304166.7</f>
        <v>6083333.3000000007</v>
      </c>
      <c r="L6" s="65">
        <f>1148728.76+25208.75+21007.3</f>
        <v>1194944.81</v>
      </c>
      <c r="M6" s="65">
        <f t="shared" si="0"/>
        <v>1216666.6999999974</v>
      </c>
      <c r="N6" s="72" t="s">
        <v>41</v>
      </c>
      <c r="P6" s="23"/>
    </row>
    <row r="7" spans="1:16" ht="64.5" customHeight="1" outlineLevel="1" x14ac:dyDescent="0.25">
      <c r="A7" s="73">
        <v>2</v>
      </c>
      <c r="B7" s="74" t="s">
        <v>31</v>
      </c>
      <c r="C7" s="74" t="s">
        <v>42</v>
      </c>
      <c r="D7" s="69" t="s">
        <v>33</v>
      </c>
      <c r="E7" s="75" t="s">
        <v>323</v>
      </c>
      <c r="F7" s="69" t="s">
        <v>43</v>
      </c>
      <c r="G7" s="70" t="s">
        <v>35</v>
      </c>
      <c r="H7" s="65">
        <v>14060526.73</v>
      </c>
      <c r="I7" s="65">
        <v>14060526.73</v>
      </c>
      <c r="J7" s="76">
        <v>7.4999999999999997E-3</v>
      </c>
      <c r="K7" s="65">
        <f>5858552.73979552+234342.1+234342.1</f>
        <v>6327236.9397955192</v>
      </c>
      <c r="L7" s="65">
        <f>1294472.69934396+40254.3+39195.3</f>
        <v>1373922.2993439601</v>
      </c>
      <c r="M7" s="65">
        <f t="shared" si="0"/>
        <v>7733289.7902044812</v>
      </c>
      <c r="N7" s="72" t="s">
        <v>37</v>
      </c>
      <c r="P7" s="23"/>
    </row>
    <row r="8" spans="1:16" ht="67.5" outlineLevel="1" x14ac:dyDescent="0.25">
      <c r="A8" s="73">
        <v>3</v>
      </c>
      <c r="B8" s="74" t="s">
        <v>31</v>
      </c>
      <c r="C8" s="74" t="s">
        <v>44</v>
      </c>
      <c r="D8" s="69" t="s">
        <v>33</v>
      </c>
      <c r="E8" s="75" t="s">
        <v>324</v>
      </c>
      <c r="F8" s="69" t="s">
        <v>45</v>
      </c>
      <c r="G8" s="70" t="s">
        <v>35</v>
      </c>
      <c r="H8" s="65">
        <v>75000000</v>
      </c>
      <c r="I8" s="65"/>
      <c r="J8" s="76" t="s">
        <v>46</v>
      </c>
      <c r="K8" s="65"/>
      <c r="L8" s="65">
        <f>1932812.5+93750+93750</f>
        <v>2120312.5</v>
      </c>
      <c r="M8" s="65">
        <f t="shared" si="0"/>
        <v>0</v>
      </c>
      <c r="N8" s="72" t="s">
        <v>41</v>
      </c>
      <c r="P8" s="23"/>
    </row>
    <row r="9" spans="1:16" ht="57.75" customHeight="1" outlineLevel="1" x14ac:dyDescent="0.25">
      <c r="A9" s="198">
        <v>4</v>
      </c>
      <c r="B9" s="186" t="s">
        <v>31</v>
      </c>
      <c r="C9" s="186" t="s">
        <v>44</v>
      </c>
      <c r="D9" s="69" t="s">
        <v>33</v>
      </c>
      <c r="E9" s="210" t="s">
        <v>324</v>
      </c>
      <c r="F9" s="197" t="s">
        <v>47</v>
      </c>
      <c r="G9" s="70" t="s">
        <v>35</v>
      </c>
      <c r="H9" s="65">
        <v>10200000</v>
      </c>
      <c r="I9" s="65">
        <f>1075381.69+59500</f>
        <v>1134881.69</v>
      </c>
      <c r="J9" s="208" t="s">
        <v>36</v>
      </c>
      <c r="K9" s="65">
        <v>0</v>
      </c>
      <c r="L9" s="65">
        <f>200690.672577969+15587.2</f>
        <v>216277.87257796901</v>
      </c>
      <c r="M9" s="65">
        <f>I9-K9</f>
        <v>1134881.69</v>
      </c>
      <c r="N9" s="189" t="s">
        <v>41</v>
      </c>
      <c r="P9" s="23"/>
    </row>
    <row r="10" spans="1:16" ht="57.75" customHeight="1" outlineLevel="1" x14ac:dyDescent="0.25">
      <c r="A10" s="199"/>
      <c r="B10" s="194"/>
      <c r="C10" s="194"/>
      <c r="D10" s="69"/>
      <c r="E10" s="211"/>
      <c r="F10" s="196"/>
      <c r="G10" s="70" t="s">
        <v>3</v>
      </c>
      <c r="H10" s="65"/>
      <c r="I10" s="65">
        <v>244081445</v>
      </c>
      <c r="J10" s="221"/>
      <c r="K10" s="65"/>
      <c r="L10" s="65">
        <v>9774294.3000000007</v>
      </c>
      <c r="M10" s="65">
        <f>I10-K10</f>
        <v>244081445</v>
      </c>
      <c r="N10" s="190"/>
      <c r="P10" s="23"/>
    </row>
    <row r="11" spans="1:16" ht="76.5" customHeight="1" outlineLevel="1" x14ac:dyDescent="0.25">
      <c r="A11" s="198">
        <v>5</v>
      </c>
      <c r="B11" s="186" t="s">
        <v>31</v>
      </c>
      <c r="C11" s="186" t="s">
        <v>48</v>
      </c>
      <c r="D11" s="69"/>
      <c r="E11" s="210" t="s">
        <v>325</v>
      </c>
      <c r="F11" s="197" t="s">
        <v>49</v>
      </c>
      <c r="G11" s="70" t="s">
        <v>35</v>
      </c>
      <c r="H11" s="65">
        <v>10000000</v>
      </c>
      <c r="I11" s="65"/>
      <c r="J11" s="208" t="s">
        <v>50</v>
      </c>
      <c r="K11" s="65"/>
      <c r="L11" s="65">
        <v>50000</v>
      </c>
      <c r="M11" s="65">
        <f>I11-K11</f>
        <v>0</v>
      </c>
      <c r="N11" s="189" t="s">
        <v>51</v>
      </c>
      <c r="P11" s="23"/>
    </row>
    <row r="12" spans="1:16" ht="76.5" customHeight="1" outlineLevel="1" x14ac:dyDescent="0.25">
      <c r="A12" s="199"/>
      <c r="B12" s="194"/>
      <c r="C12" s="194"/>
      <c r="D12" s="69"/>
      <c r="E12" s="211"/>
      <c r="F12" s="196"/>
      <c r="G12" s="69" t="s">
        <v>3</v>
      </c>
      <c r="H12" s="65"/>
      <c r="I12" s="65"/>
      <c r="J12" s="221"/>
      <c r="K12" s="65"/>
      <c r="L12" s="65"/>
      <c r="M12" s="65">
        <f t="shared" si="0"/>
        <v>0</v>
      </c>
      <c r="N12" s="190"/>
      <c r="P12" s="23"/>
    </row>
    <row r="13" spans="1:16" ht="76.5" customHeight="1" outlineLevel="1" x14ac:dyDescent="0.25">
      <c r="A13" s="198">
        <v>6</v>
      </c>
      <c r="B13" s="186" t="s">
        <v>31</v>
      </c>
      <c r="C13" s="186" t="s">
        <v>52</v>
      </c>
      <c r="D13" s="69"/>
      <c r="E13" s="210" t="s">
        <v>326</v>
      </c>
      <c r="F13" s="197" t="s">
        <v>53</v>
      </c>
      <c r="G13" s="70" t="s">
        <v>35</v>
      </c>
      <c r="H13" s="65">
        <v>83000000</v>
      </c>
      <c r="I13" s="65"/>
      <c r="J13" s="208">
        <v>1.7999999999999999E-2</v>
      </c>
      <c r="K13" s="65"/>
      <c r="L13" s="65">
        <f>1930326.40003794+103750+103750</f>
        <v>2137826.4000379397</v>
      </c>
      <c r="M13" s="65">
        <f t="shared" si="0"/>
        <v>0</v>
      </c>
      <c r="N13" s="189" t="s">
        <v>41</v>
      </c>
      <c r="P13" s="23"/>
    </row>
    <row r="14" spans="1:16" ht="76.5" customHeight="1" outlineLevel="1" x14ac:dyDescent="0.25">
      <c r="A14" s="199"/>
      <c r="B14" s="194"/>
      <c r="C14" s="194"/>
      <c r="D14" s="69"/>
      <c r="E14" s="211"/>
      <c r="F14" s="196"/>
      <c r="G14" s="69" t="s">
        <v>3</v>
      </c>
      <c r="H14" s="65"/>
      <c r="I14" s="65"/>
      <c r="J14" s="221"/>
      <c r="K14" s="65"/>
      <c r="L14" s="65"/>
      <c r="M14" s="65">
        <f t="shared" si="0"/>
        <v>0</v>
      </c>
      <c r="N14" s="190"/>
      <c r="O14" s="77"/>
      <c r="P14" s="23"/>
    </row>
    <row r="15" spans="1:16" ht="96.75" customHeight="1" outlineLevel="1" x14ac:dyDescent="0.25">
      <c r="A15" s="216">
        <v>7</v>
      </c>
      <c r="B15" s="186" t="s">
        <v>31</v>
      </c>
      <c r="C15" s="186" t="s">
        <v>54</v>
      </c>
      <c r="D15" s="219" t="s">
        <v>55</v>
      </c>
      <c r="E15" s="218" t="s">
        <v>327</v>
      </c>
      <c r="F15" s="219" t="s">
        <v>56</v>
      </c>
      <c r="G15" s="70" t="s">
        <v>57</v>
      </c>
      <c r="H15" s="65">
        <f>35500000-1434414.8</f>
        <v>34065585.200000003</v>
      </c>
      <c r="I15" s="65">
        <v>34065585.200000003</v>
      </c>
      <c r="J15" s="223" t="s">
        <v>396</v>
      </c>
      <c r="K15" s="65">
        <v>3406558.5000878503</v>
      </c>
      <c r="L15" s="65">
        <v>6927866.1493183281</v>
      </c>
      <c r="M15" s="65">
        <f t="shared" si="0"/>
        <v>30659026.699912153</v>
      </c>
      <c r="N15" s="189" t="s">
        <v>58</v>
      </c>
      <c r="O15" s="77"/>
      <c r="P15" s="23"/>
    </row>
    <row r="16" spans="1:16" ht="68.25" customHeight="1" outlineLevel="1" x14ac:dyDescent="0.25">
      <c r="A16" s="216"/>
      <c r="B16" s="194"/>
      <c r="C16" s="194"/>
      <c r="D16" s="219"/>
      <c r="E16" s="218"/>
      <c r="F16" s="219"/>
      <c r="G16" s="69" t="s">
        <v>3</v>
      </c>
      <c r="H16" s="65"/>
      <c r="I16" s="65">
        <v>3680136115.8000002</v>
      </c>
      <c r="J16" s="223"/>
      <c r="K16" s="65">
        <v>387003402.10000002</v>
      </c>
      <c r="L16" s="65">
        <v>743758864.24140716</v>
      </c>
      <c r="M16" s="65">
        <f t="shared" si="0"/>
        <v>3293132713.7000003</v>
      </c>
      <c r="N16" s="190"/>
      <c r="O16" s="77"/>
      <c r="P16" s="23"/>
    </row>
    <row r="17" spans="1:15" s="23" customFormat="1" ht="81" customHeight="1" outlineLevel="1" x14ac:dyDescent="0.25">
      <c r="A17" s="198">
        <v>8</v>
      </c>
      <c r="B17" s="186" t="s">
        <v>31</v>
      </c>
      <c r="C17" s="186" t="s">
        <v>59</v>
      </c>
      <c r="D17" s="197" t="s">
        <v>55</v>
      </c>
      <c r="E17" s="210" t="s">
        <v>328</v>
      </c>
      <c r="F17" s="210" t="s">
        <v>60</v>
      </c>
      <c r="G17" s="70" t="s">
        <v>57</v>
      </c>
      <c r="H17" s="78">
        <f>40000000-2500000-1500000</f>
        <v>36000000</v>
      </c>
      <c r="I17" s="65">
        <v>23375604.149999999</v>
      </c>
      <c r="J17" s="76" t="s">
        <v>396</v>
      </c>
      <c r="K17" s="65">
        <v>0</v>
      </c>
      <c r="L17" s="65">
        <v>2610870.4511588858</v>
      </c>
      <c r="M17" s="65">
        <f t="shared" si="0"/>
        <v>23375604.149999999</v>
      </c>
      <c r="N17" s="189" t="s">
        <v>58</v>
      </c>
      <c r="O17" s="77"/>
    </row>
    <row r="18" spans="1:15" s="23" customFormat="1" ht="39.75" customHeight="1" outlineLevel="1" x14ac:dyDescent="0.25">
      <c r="A18" s="199"/>
      <c r="B18" s="194"/>
      <c r="C18" s="194"/>
      <c r="D18" s="196"/>
      <c r="E18" s="211"/>
      <c r="F18" s="211"/>
      <c r="G18" s="69" t="s">
        <v>3</v>
      </c>
      <c r="H18" s="78"/>
      <c r="I18" s="65">
        <v>969260610.20000005</v>
      </c>
      <c r="J18" s="76"/>
      <c r="K18" s="65">
        <v>563212.19999999995</v>
      </c>
      <c r="L18" s="65">
        <v>103135336.99999999</v>
      </c>
      <c r="M18" s="65">
        <f t="shared" si="0"/>
        <v>968697398</v>
      </c>
      <c r="N18" s="190"/>
      <c r="O18" s="77"/>
    </row>
    <row r="19" spans="1:15" s="23" customFormat="1" ht="70.5" customHeight="1" outlineLevel="1" x14ac:dyDescent="0.25">
      <c r="A19" s="198">
        <v>9</v>
      </c>
      <c r="B19" s="200" t="s">
        <v>31</v>
      </c>
      <c r="C19" s="186" t="s">
        <v>61</v>
      </c>
      <c r="D19" s="197" t="s">
        <v>55</v>
      </c>
      <c r="E19" s="210" t="s">
        <v>329</v>
      </c>
      <c r="F19" s="210" t="s">
        <v>62</v>
      </c>
      <c r="G19" s="70" t="s">
        <v>57</v>
      </c>
      <c r="H19" s="78">
        <v>23194486</v>
      </c>
      <c r="I19" s="65">
        <v>10737078.780000001</v>
      </c>
      <c r="J19" s="208" t="s">
        <v>396</v>
      </c>
      <c r="K19" s="65">
        <v>0</v>
      </c>
      <c r="L19" s="65">
        <v>1316813.6299491981</v>
      </c>
      <c r="M19" s="65">
        <f t="shared" si="0"/>
        <v>10737078.780000001</v>
      </c>
      <c r="N19" s="189" t="s">
        <v>58</v>
      </c>
      <c r="O19" s="77"/>
    </row>
    <row r="20" spans="1:15" s="23" customFormat="1" ht="39.75" customHeight="1" outlineLevel="1" x14ac:dyDescent="0.25">
      <c r="A20" s="199"/>
      <c r="B20" s="193"/>
      <c r="C20" s="187"/>
      <c r="D20" s="195"/>
      <c r="E20" s="211"/>
      <c r="F20" s="211"/>
      <c r="G20" s="69" t="s">
        <v>3</v>
      </c>
      <c r="H20" s="78"/>
      <c r="I20" s="65">
        <v>1377132353.3</v>
      </c>
      <c r="J20" s="222"/>
      <c r="K20" s="65">
        <v>91463799.799999997</v>
      </c>
      <c r="L20" s="65">
        <v>119885553.69999999</v>
      </c>
      <c r="M20" s="65">
        <f t="shared" si="0"/>
        <v>1285668553.5</v>
      </c>
      <c r="N20" s="190"/>
      <c r="O20" s="77"/>
    </row>
    <row r="21" spans="1:15" s="23" customFormat="1" ht="60" customHeight="1" outlineLevel="1" x14ac:dyDescent="0.25">
      <c r="A21" s="198">
        <v>10</v>
      </c>
      <c r="B21" s="200" t="s">
        <v>63</v>
      </c>
      <c r="C21" s="187"/>
      <c r="D21" s="195"/>
      <c r="E21" s="210" t="s">
        <v>330</v>
      </c>
      <c r="F21" s="210" t="s">
        <v>62</v>
      </c>
      <c r="G21" s="70" t="s">
        <v>57</v>
      </c>
      <c r="H21" s="65">
        <v>16662617.070000002</v>
      </c>
      <c r="I21" s="65">
        <v>16662617.070000002</v>
      </c>
      <c r="J21" s="222"/>
      <c r="K21" s="65"/>
      <c r="L21" s="65">
        <v>2194958.0016193632</v>
      </c>
      <c r="M21" s="65">
        <f t="shared" si="0"/>
        <v>16662617.070000002</v>
      </c>
      <c r="N21" s="189" t="s">
        <v>58</v>
      </c>
      <c r="O21" s="77"/>
    </row>
    <row r="22" spans="1:15" s="23" customFormat="1" ht="40.5" customHeight="1" outlineLevel="1" x14ac:dyDescent="0.25">
      <c r="A22" s="199"/>
      <c r="B22" s="193"/>
      <c r="C22" s="194"/>
      <c r="D22" s="196"/>
      <c r="E22" s="211"/>
      <c r="F22" s="211"/>
      <c r="G22" s="70" t="s">
        <v>3</v>
      </c>
      <c r="H22" s="35"/>
      <c r="I22" s="65">
        <v>2003005775.2</v>
      </c>
      <c r="J22" s="221"/>
      <c r="K22" s="65"/>
      <c r="L22" s="65">
        <v>238604865.80819586</v>
      </c>
      <c r="M22" s="65">
        <f t="shared" si="0"/>
        <v>2003005775.2</v>
      </c>
      <c r="N22" s="190"/>
      <c r="O22" s="77"/>
    </row>
    <row r="23" spans="1:15" s="23" customFormat="1" ht="57.75" customHeight="1" outlineLevel="1" x14ac:dyDescent="0.25">
      <c r="A23" s="198">
        <v>11</v>
      </c>
      <c r="B23" s="200" t="s">
        <v>31</v>
      </c>
      <c r="C23" s="186" t="s">
        <v>64</v>
      </c>
      <c r="D23" s="197" t="s">
        <v>65</v>
      </c>
      <c r="E23" s="210" t="s">
        <v>328</v>
      </c>
      <c r="F23" s="197" t="s">
        <v>66</v>
      </c>
      <c r="G23" s="70" t="s">
        <v>67</v>
      </c>
      <c r="H23" s="79">
        <v>13988153</v>
      </c>
      <c r="I23" s="65">
        <v>8375536.2411363386</v>
      </c>
      <c r="J23" s="208">
        <v>3.1399999999999997E-2</v>
      </c>
      <c r="K23" s="65">
        <v>1430873.6002049374</v>
      </c>
      <c r="L23" s="65">
        <v>1219413.9300609229</v>
      </c>
      <c r="M23" s="65">
        <f t="shared" si="0"/>
        <v>6944662.6409314014</v>
      </c>
      <c r="N23" s="189" t="s">
        <v>58</v>
      </c>
      <c r="O23" s="77"/>
    </row>
    <row r="24" spans="1:15" s="23" customFormat="1" ht="32.25" customHeight="1" outlineLevel="1" x14ac:dyDescent="0.25">
      <c r="A24" s="199"/>
      <c r="B24" s="193"/>
      <c r="C24" s="187"/>
      <c r="D24" s="195"/>
      <c r="E24" s="211"/>
      <c r="F24" s="196"/>
      <c r="G24" s="69" t="s">
        <v>3</v>
      </c>
      <c r="H24" s="80"/>
      <c r="I24" s="65">
        <v>1194787815</v>
      </c>
      <c r="J24" s="221"/>
      <c r="K24" s="65">
        <v>209123295.30000001</v>
      </c>
      <c r="L24" s="65">
        <v>177460224.60000002</v>
      </c>
      <c r="M24" s="65">
        <f t="shared" si="0"/>
        <v>985664519.70000005</v>
      </c>
      <c r="N24" s="190"/>
      <c r="O24" s="77"/>
    </row>
    <row r="25" spans="1:15" s="23" customFormat="1" ht="51.75" customHeight="1" outlineLevel="1" x14ac:dyDescent="0.25">
      <c r="A25" s="198">
        <v>12</v>
      </c>
      <c r="B25" s="200" t="s">
        <v>68</v>
      </c>
      <c r="C25" s="187"/>
      <c r="D25" s="195"/>
      <c r="E25" s="210" t="s">
        <v>331</v>
      </c>
      <c r="F25" s="197" t="s">
        <v>66</v>
      </c>
      <c r="G25" s="70" t="s">
        <v>67</v>
      </c>
      <c r="H25" s="79">
        <v>10098535</v>
      </c>
      <c r="I25" s="65">
        <v>10121386.37101347</v>
      </c>
      <c r="J25" s="208">
        <v>3.1399999999999997E-2</v>
      </c>
      <c r="K25" s="65">
        <v>1520990.1026863856</v>
      </c>
      <c r="L25" s="65">
        <v>832426.02733800001</v>
      </c>
      <c r="M25" s="65">
        <f t="shared" si="0"/>
        <v>8600396.2683270834</v>
      </c>
      <c r="N25" s="189" t="s">
        <v>58</v>
      </c>
      <c r="O25" s="77"/>
    </row>
    <row r="26" spans="1:15" s="23" customFormat="1" ht="32.25" customHeight="1" outlineLevel="1" x14ac:dyDescent="0.25">
      <c r="A26" s="199"/>
      <c r="B26" s="193"/>
      <c r="C26" s="194"/>
      <c r="D26" s="196"/>
      <c r="E26" s="211"/>
      <c r="F26" s="196"/>
      <c r="G26" s="69" t="s">
        <v>3</v>
      </c>
      <c r="H26" s="80"/>
      <c r="I26" s="65">
        <v>794162455.89999998</v>
      </c>
      <c r="J26" s="221"/>
      <c r="K26" s="65">
        <v>123592049.69999999</v>
      </c>
      <c r="L26" s="65">
        <v>78534680.799999997</v>
      </c>
      <c r="M26" s="65">
        <f t="shared" si="0"/>
        <v>670570406.20000005</v>
      </c>
      <c r="N26" s="190"/>
      <c r="O26" s="77"/>
    </row>
    <row r="27" spans="1:15" s="23" customFormat="1" ht="48" customHeight="1" outlineLevel="1" x14ac:dyDescent="0.25">
      <c r="A27" s="73">
        <v>13</v>
      </c>
      <c r="B27" s="81" t="s">
        <v>31</v>
      </c>
      <c r="C27" s="217" t="s">
        <v>69</v>
      </c>
      <c r="D27" s="219" t="s">
        <v>70</v>
      </c>
      <c r="E27" s="75" t="s">
        <v>332</v>
      </c>
      <c r="F27" s="69" t="s">
        <v>71</v>
      </c>
      <c r="G27" s="70" t="s">
        <v>57</v>
      </c>
      <c r="H27" s="65">
        <v>19600000</v>
      </c>
      <c r="I27" s="65">
        <v>19419334.870000001</v>
      </c>
      <c r="J27" s="82">
        <v>5.0000000000000001E-3</v>
      </c>
      <c r="K27" s="65">
        <f>9716960.66852489+189584407.5/488.5+172026989.7/443.26</f>
        <v>10493150.668524889</v>
      </c>
      <c r="L27" s="65">
        <f>1129921.93024286+16077756.3/488.5+14096288.6/443.26</f>
        <v>1194635.8304264306</v>
      </c>
      <c r="M27" s="65">
        <f t="shared" si="0"/>
        <v>8926184.2014751118</v>
      </c>
      <c r="N27" s="72" t="s">
        <v>58</v>
      </c>
      <c r="O27" s="77"/>
    </row>
    <row r="28" spans="1:15" s="23" customFormat="1" ht="60" customHeight="1" outlineLevel="1" x14ac:dyDescent="0.25">
      <c r="A28" s="73">
        <v>14</v>
      </c>
      <c r="B28" s="81" t="s">
        <v>68</v>
      </c>
      <c r="C28" s="217"/>
      <c r="D28" s="219"/>
      <c r="E28" s="75" t="s">
        <v>333</v>
      </c>
      <c r="F28" s="69" t="s">
        <v>72</v>
      </c>
      <c r="G28" s="70" t="s">
        <v>57</v>
      </c>
      <c r="H28" s="65">
        <v>297276.53999999998</v>
      </c>
      <c r="I28" s="65">
        <v>297276.53999999998</v>
      </c>
      <c r="J28" s="76" t="s">
        <v>73</v>
      </c>
      <c r="K28" s="65">
        <f>257638.543537781+4361667/440.15</f>
        <v>267548.0448441538</v>
      </c>
      <c r="L28" s="65">
        <f>229541.53251276+1912186/489.99+1556591/440.15</f>
        <v>236980.53375655663</v>
      </c>
      <c r="M28" s="65">
        <f t="shared" si="0"/>
        <v>29728.495155846176</v>
      </c>
      <c r="N28" s="72" t="s">
        <v>58</v>
      </c>
      <c r="O28" s="77"/>
    </row>
    <row r="29" spans="1:15" s="23" customFormat="1" ht="51" customHeight="1" outlineLevel="1" x14ac:dyDescent="0.25">
      <c r="A29" s="73">
        <v>15</v>
      </c>
      <c r="B29" s="81" t="s">
        <v>68</v>
      </c>
      <c r="C29" s="220" t="s">
        <v>74</v>
      </c>
      <c r="D29" s="219" t="s">
        <v>75</v>
      </c>
      <c r="E29" s="75" t="s">
        <v>334</v>
      </c>
      <c r="F29" s="69" t="s">
        <v>76</v>
      </c>
      <c r="G29" s="69" t="s">
        <v>77</v>
      </c>
      <c r="H29" s="65">
        <v>1571940173.3299999</v>
      </c>
      <c r="I29" s="65">
        <v>1598519063</v>
      </c>
      <c r="J29" s="82">
        <v>1.7999999999999999E-2</v>
      </c>
      <c r="K29" s="65">
        <v>1030178646.5</v>
      </c>
      <c r="L29" s="65">
        <v>226837831.92593718</v>
      </c>
      <c r="M29" s="65">
        <f t="shared" si="0"/>
        <v>568340416.5</v>
      </c>
      <c r="N29" s="72" t="s">
        <v>58</v>
      </c>
      <c r="O29" s="77"/>
    </row>
    <row r="30" spans="1:15" s="23" customFormat="1" ht="41.25" customHeight="1" outlineLevel="1" x14ac:dyDescent="0.25">
      <c r="A30" s="73">
        <v>16</v>
      </c>
      <c r="B30" s="74" t="s">
        <v>78</v>
      </c>
      <c r="C30" s="220"/>
      <c r="D30" s="219"/>
      <c r="E30" s="75" t="s">
        <v>335</v>
      </c>
      <c r="F30" s="69" t="s">
        <v>76</v>
      </c>
      <c r="G30" s="69" t="s">
        <v>77</v>
      </c>
      <c r="H30" s="65">
        <v>3796371795.6700001</v>
      </c>
      <c r="I30" s="65">
        <v>3861444249</v>
      </c>
      <c r="J30" s="82">
        <v>1.7999999999999999E-2</v>
      </c>
      <c r="K30" s="65">
        <v>2513837447.5599999</v>
      </c>
      <c r="L30" s="65">
        <v>553224853.25679886</v>
      </c>
      <c r="M30" s="65">
        <f t="shared" si="0"/>
        <v>1347606801.4400001</v>
      </c>
      <c r="N30" s="72" t="s">
        <v>58</v>
      </c>
      <c r="O30" s="77"/>
    </row>
    <row r="31" spans="1:15" s="23" customFormat="1" ht="33.75" customHeight="1" outlineLevel="1" x14ac:dyDescent="0.25">
      <c r="A31" s="216">
        <v>17</v>
      </c>
      <c r="B31" s="220" t="s">
        <v>79</v>
      </c>
      <c r="C31" s="217" t="s">
        <v>80</v>
      </c>
      <c r="D31" s="219" t="s">
        <v>70</v>
      </c>
      <c r="E31" s="218" t="s">
        <v>336</v>
      </c>
      <c r="F31" s="219" t="s">
        <v>81</v>
      </c>
      <c r="G31" s="70" t="s">
        <v>57</v>
      </c>
      <c r="H31" s="65">
        <v>4846628.13</v>
      </c>
      <c r="I31" s="65">
        <v>4737831.22</v>
      </c>
      <c r="J31" s="76">
        <v>7.4999999999999997E-3</v>
      </c>
      <c r="K31" s="65">
        <v>616176.07927905116</v>
      </c>
      <c r="L31" s="65">
        <v>353441.51612213737</v>
      </c>
      <c r="M31" s="65">
        <f t="shared" si="0"/>
        <v>4121655.1407209486</v>
      </c>
      <c r="N31" s="72" t="s">
        <v>82</v>
      </c>
      <c r="O31" s="77"/>
    </row>
    <row r="32" spans="1:15" s="23" customFormat="1" ht="41.25" customHeight="1" outlineLevel="1" x14ac:dyDescent="0.25">
      <c r="A32" s="216"/>
      <c r="B32" s="220"/>
      <c r="C32" s="217"/>
      <c r="D32" s="219"/>
      <c r="E32" s="218"/>
      <c r="F32" s="219"/>
      <c r="G32" s="69" t="s">
        <v>3</v>
      </c>
      <c r="H32" s="65">
        <v>1740568345.9000001</v>
      </c>
      <c r="I32" s="65">
        <v>1740568345.9000001</v>
      </c>
      <c r="J32" s="76">
        <v>7.4999999999999997E-3</v>
      </c>
      <c r="K32" s="65">
        <v>247100359</v>
      </c>
      <c r="L32" s="65">
        <v>128165336.87365502</v>
      </c>
      <c r="M32" s="65">
        <f t="shared" si="0"/>
        <v>1493467986.9000001</v>
      </c>
      <c r="N32" s="72" t="s">
        <v>82</v>
      </c>
      <c r="O32" s="77"/>
    </row>
    <row r="33" spans="1:16" ht="87" customHeight="1" outlineLevel="1" x14ac:dyDescent="0.25">
      <c r="A33" s="73">
        <v>18</v>
      </c>
      <c r="B33" s="81" t="s">
        <v>83</v>
      </c>
      <c r="C33" s="74" t="s">
        <v>84</v>
      </c>
      <c r="D33" s="69" t="s">
        <v>33</v>
      </c>
      <c r="E33" s="75" t="s">
        <v>337</v>
      </c>
      <c r="F33" s="75" t="s">
        <v>85</v>
      </c>
      <c r="G33" s="70" t="s">
        <v>35</v>
      </c>
      <c r="H33" s="83">
        <v>17895215.550000001</v>
      </c>
      <c r="I33" s="65">
        <v>17895215.550000001</v>
      </c>
      <c r="J33" s="76">
        <v>7.4999999999999997E-3</v>
      </c>
      <c r="K33" s="65">
        <v>7748628.1040287586</v>
      </c>
      <c r="L33" s="65">
        <v>2568161.2848545089</v>
      </c>
      <c r="M33" s="65">
        <f t="shared" si="0"/>
        <v>10146587.445971243</v>
      </c>
      <c r="N33" s="72" t="s">
        <v>58</v>
      </c>
      <c r="O33" s="77"/>
      <c r="P33" s="23"/>
    </row>
    <row r="34" spans="1:16" ht="40.5" customHeight="1" outlineLevel="1" x14ac:dyDescent="0.25">
      <c r="A34" s="216">
        <v>19</v>
      </c>
      <c r="B34" s="200" t="s">
        <v>86</v>
      </c>
      <c r="C34" s="217" t="s">
        <v>87</v>
      </c>
      <c r="D34" s="217" t="s">
        <v>292</v>
      </c>
      <c r="E34" s="217" t="s">
        <v>338</v>
      </c>
      <c r="F34" s="74" t="s">
        <v>88</v>
      </c>
      <c r="G34" s="70" t="s">
        <v>35</v>
      </c>
      <c r="H34" s="84">
        <v>22000000</v>
      </c>
      <c r="I34" s="65">
        <v>21247150.510000002</v>
      </c>
      <c r="J34" s="85" t="s">
        <v>89</v>
      </c>
      <c r="K34" s="65">
        <f>1047000+1047000+1047000+1047000</f>
        <v>4188000</v>
      </c>
      <c r="L34" s="65">
        <v>1562793.5</v>
      </c>
      <c r="M34" s="64">
        <f>I34-K34</f>
        <v>17059150.510000002</v>
      </c>
      <c r="N34" s="72" t="s">
        <v>90</v>
      </c>
      <c r="O34" s="77"/>
      <c r="P34" s="23"/>
    </row>
    <row r="35" spans="1:16" ht="31.5" customHeight="1" outlineLevel="1" x14ac:dyDescent="0.25">
      <c r="A35" s="216"/>
      <c r="B35" s="192"/>
      <c r="C35" s="217"/>
      <c r="D35" s="217"/>
      <c r="E35" s="217"/>
      <c r="F35" s="74" t="s">
        <v>91</v>
      </c>
      <c r="G35" s="70" t="s">
        <v>35</v>
      </c>
      <c r="H35" s="84">
        <v>14500000</v>
      </c>
      <c r="I35" s="65">
        <v>14491281.059999999</v>
      </c>
      <c r="J35" s="85" t="s">
        <v>36</v>
      </c>
      <c r="K35" s="65">
        <f>241000+241000+241000+241000</f>
        <v>964000</v>
      </c>
      <c r="L35" s="65">
        <v>477284.5</v>
      </c>
      <c r="M35" s="64">
        <f>I35-K35</f>
        <v>13527281.059999999</v>
      </c>
      <c r="N35" s="72" t="s">
        <v>90</v>
      </c>
      <c r="O35" s="77"/>
      <c r="P35" s="23"/>
    </row>
    <row r="36" spans="1:16" ht="42.75" customHeight="1" outlineLevel="1" x14ac:dyDescent="0.25">
      <c r="A36" s="216"/>
      <c r="B36" s="193"/>
      <c r="C36" s="217"/>
      <c r="D36" s="217"/>
      <c r="E36" s="217"/>
      <c r="F36" s="74" t="s">
        <v>92</v>
      </c>
      <c r="G36" s="70" t="s">
        <v>35</v>
      </c>
      <c r="H36" s="84">
        <v>14500000</v>
      </c>
      <c r="I36" s="65">
        <v>14500000.000000002</v>
      </c>
      <c r="J36" s="85" t="s">
        <v>93</v>
      </c>
      <c r="K36" s="65">
        <v>2519999.6</v>
      </c>
      <c r="L36" s="65">
        <v>1700303.15</v>
      </c>
      <c r="M36" s="64">
        <f>I36-K36</f>
        <v>11980000.400000002</v>
      </c>
      <c r="N36" s="72" t="s">
        <v>90</v>
      </c>
      <c r="O36" s="77"/>
      <c r="P36" s="23"/>
    </row>
    <row r="37" spans="1:16" ht="94.5" customHeight="1" outlineLevel="1" x14ac:dyDescent="0.25">
      <c r="A37" s="73">
        <v>20</v>
      </c>
      <c r="B37" s="74" t="s">
        <v>94</v>
      </c>
      <c r="C37" s="81" t="s">
        <v>95</v>
      </c>
      <c r="D37" s="69" t="s">
        <v>75</v>
      </c>
      <c r="E37" s="75" t="s">
        <v>339</v>
      </c>
      <c r="F37" s="69" t="s">
        <v>96</v>
      </c>
      <c r="G37" s="69" t="s">
        <v>77</v>
      </c>
      <c r="H37" s="86">
        <v>26409000000</v>
      </c>
      <c r="I37" s="65">
        <v>26399286331</v>
      </c>
      <c r="J37" s="76">
        <v>7.4999999999999997E-3</v>
      </c>
      <c r="K37" s="65">
        <v>6924456331.1683521</v>
      </c>
      <c r="L37" s="65">
        <v>2534923948.0592432</v>
      </c>
      <c r="M37" s="87">
        <f t="shared" ref="M37:M46" si="1">I37-K37</f>
        <v>19474829999.83165</v>
      </c>
      <c r="N37" s="72" t="s">
        <v>97</v>
      </c>
      <c r="O37" s="77"/>
      <c r="P37" s="23"/>
    </row>
    <row r="38" spans="1:16" ht="51.75" customHeight="1" outlineLevel="1" x14ac:dyDescent="0.25">
      <c r="A38" s="73">
        <v>21</v>
      </c>
      <c r="B38" s="81" t="s">
        <v>31</v>
      </c>
      <c r="C38" s="74" t="s">
        <v>98</v>
      </c>
      <c r="D38" s="74" t="s">
        <v>99</v>
      </c>
      <c r="E38" s="75" t="s">
        <v>340</v>
      </c>
      <c r="F38" s="69" t="s">
        <v>100</v>
      </c>
      <c r="G38" s="70" t="s">
        <v>57</v>
      </c>
      <c r="H38" s="65">
        <v>8988290</v>
      </c>
      <c r="I38" s="65">
        <v>8988290</v>
      </c>
      <c r="J38" s="82">
        <v>5.0000000000000001E-3</v>
      </c>
      <c r="K38" s="65">
        <f>4199999.97+600000+600000+289644000/482.74+290820000/484.7+286458000/477.43+600000+600000</f>
        <v>8399999.9699999988</v>
      </c>
      <c r="L38" s="65">
        <v>838542.94244701625</v>
      </c>
      <c r="M38" s="87">
        <f t="shared" si="1"/>
        <v>588290.03000000119</v>
      </c>
      <c r="N38" s="72" t="s">
        <v>82</v>
      </c>
      <c r="O38" s="77"/>
      <c r="P38" s="23"/>
    </row>
    <row r="39" spans="1:16" ht="63.75" customHeight="1" outlineLevel="1" x14ac:dyDescent="0.25">
      <c r="A39" s="73">
        <v>22</v>
      </c>
      <c r="B39" s="81" t="s">
        <v>101</v>
      </c>
      <c r="C39" s="74" t="s">
        <v>98</v>
      </c>
      <c r="D39" s="74" t="s">
        <v>102</v>
      </c>
      <c r="E39" s="88" t="s">
        <v>341</v>
      </c>
      <c r="F39" s="65" t="s">
        <v>103</v>
      </c>
      <c r="G39" s="89" t="s">
        <v>3</v>
      </c>
      <c r="H39" s="65">
        <v>1757100000</v>
      </c>
      <c r="I39" s="65">
        <v>1757100000</v>
      </c>
      <c r="J39" s="76">
        <v>7.4999999999999997E-3</v>
      </c>
      <c r="K39" s="65">
        <f>439275000+62753571.5+62753571.5+62753571.3+62753571.4+62753571.4+62753571.4+62753571.5</f>
        <v>878549999.99999988</v>
      </c>
      <c r="L39" s="65">
        <v>303383430.5</v>
      </c>
      <c r="M39" s="87">
        <f t="shared" si="1"/>
        <v>878550000.00000012</v>
      </c>
      <c r="N39" s="72" t="s">
        <v>82</v>
      </c>
      <c r="O39" s="77"/>
      <c r="P39" s="23"/>
    </row>
    <row r="40" spans="1:16" ht="63.75" customHeight="1" outlineLevel="1" x14ac:dyDescent="0.25">
      <c r="A40" s="90">
        <v>23</v>
      </c>
      <c r="B40" s="81" t="s">
        <v>101</v>
      </c>
      <c r="C40" s="91" t="s">
        <v>104</v>
      </c>
      <c r="D40" s="74"/>
      <c r="E40" s="88" t="s">
        <v>342</v>
      </c>
      <c r="F40" s="65" t="s">
        <v>105</v>
      </c>
      <c r="G40" s="89" t="s">
        <v>3</v>
      </c>
      <c r="H40" s="65">
        <v>18700000000</v>
      </c>
      <c r="I40" s="65">
        <v>18700000000</v>
      </c>
      <c r="J40" s="92">
        <v>7.4999999999999997E-2</v>
      </c>
      <c r="K40" s="65">
        <f>890476190.5</f>
        <v>890476190.5</v>
      </c>
      <c r="L40" s="65">
        <f>1333335616.4+703171232.9+699328767.1</f>
        <v>2735835616.4000001</v>
      </c>
      <c r="M40" s="87">
        <f t="shared" si="1"/>
        <v>17809523809.5</v>
      </c>
      <c r="N40" s="72" t="s">
        <v>82</v>
      </c>
      <c r="O40" s="77"/>
      <c r="P40" s="23"/>
    </row>
    <row r="41" spans="1:16" ht="63.75" customHeight="1" outlineLevel="1" x14ac:dyDescent="0.25">
      <c r="A41" s="90">
        <v>24</v>
      </c>
      <c r="B41" s="81" t="s">
        <v>101</v>
      </c>
      <c r="C41" s="91" t="s">
        <v>293</v>
      </c>
      <c r="D41" s="74"/>
      <c r="E41" s="93"/>
      <c r="F41" s="65" t="s">
        <v>273</v>
      </c>
      <c r="G41" s="89" t="s">
        <v>3</v>
      </c>
      <c r="H41" s="65">
        <v>25000000000</v>
      </c>
      <c r="I41" s="65">
        <v>25000000000</v>
      </c>
      <c r="J41" s="92">
        <v>0.09</v>
      </c>
      <c r="K41" s="65"/>
      <c r="L41" s="65">
        <f>1171232876.7+1121917808.3</f>
        <v>2293150685</v>
      </c>
      <c r="M41" s="87">
        <f t="shared" si="1"/>
        <v>25000000000</v>
      </c>
      <c r="N41" s="72" t="s">
        <v>82</v>
      </c>
      <c r="O41" s="77"/>
      <c r="P41" s="23"/>
    </row>
    <row r="42" spans="1:16" ht="63.75" customHeight="1" outlineLevel="1" x14ac:dyDescent="0.25">
      <c r="A42" s="90">
        <v>25</v>
      </c>
      <c r="B42" s="81" t="s">
        <v>101</v>
      </c>
      <c r="C42" s="91" t="s">
        <v>276</v>
      </c>
      <c r="D42" s="74"/>
      <c r="E42" s="88" t="s">
        <v>343</v>
      </c>
      <c r="F42" s="65" t="s">
        <v>277</v>
      </c>
      <c r="G42" s="89" t="s">
        <v>3</v>
      </c>
      <c r="H42" s="65">
        <v>2242223800</v>
      </c>
      <c r="I42" s="65">
        <v>2242223800</v>
      </c>
      <c r="J42" s="94">
        <v>9.1240000000000002E-2</v>
      </c>
      <c r="K42" s="65"/>
      <c r="L42" s="65"/>
      <c r="M42" s="87">
        <f t="shared" si="1"/>
        <v>2242223800</v>
      </c>
      <c r="N42" s="72" t="s">
        <v>82</v>
      </c>
      <c r="O42" s="77"/>
      <c r="P42" s="23"/>
    </row>
    <row r="43" spans="1:16" ht="57.75" customHeight="1" outlineLevel="1" x14ac:dyDescent="0.25">
      <c r="A43" s="198">
        <v>26</v>
      </c>
      <c r="B43" s="200" t="s">
        <v>101</v>
      </c>
      <c r="C43" s="186" t="s">
        <v>106</v>
      </c>
      <c r="D43" s="69" t="s">
        <v>107</v>
      </c>
      <c r="E43" s="210" t="s">
        <v>344</v>
      </c>
      <c r="F43" s="212" t="s">
        <v>108</v>
      </c>
      <c r="G43" s="70" t="s">
        <v>57</v>
      </c>
      <c r="H43" s="79">
        <v>270000000</v>
      </c>
      <c r="I43" s="65">
        <v>173574580.28</v>
      </c>
      <c r="J43" s="214">
        <v>0.03</v>
      </c>
      <c r="K43" s="65">
        <v>51199088.700222775</v>
      </c>
      <c r="L43" s="65">
        <v>20309911.275648959</v>
      </c>
      <c r="M43" s="87">
        <f t="shared" si="1"/>
        <v>122375491.57977723</v>
      </c>
      <c r="N43" s="189" t="s">
        <v>90</v>
      </c>
      <c r="O43" s="77"/>
      <c r="P43" s="23"/>
    </row>
    <row r="44" spans="1:16" ht="57.75" customHeight="1" outlineLevel="1" x14ac:dyDescent="0.25">
      <c r="A44" s="199"/>
      <c r="B44" s="193"/>
      <c r="C44" s="194"/>
      <c r="D44" s="95"/>
      <c r="E44" s="211"/>
      <c r="F44" s="213"/>
      <c r="G44" s="89" t="s">
        <v>3</v>
      </c>
      <c r="H44" s="80">
        <v>1265847400</v>
      </c>
      <c r="I44" s="65">
        <f>9509488626+108542329</f>
        <v>9618030955</v>
      </c>
      <c r="J44" s="215"/>
      <c r="K44" s="65">
        <v>2858334735.4763155</v>
      </c>
      <c r="L44" s="65">
        <v>1045375895.11175</v>
      </c>
      <c r="M44" s="87">
        <f t="shared" si="1"/>
        <v>6759696219.5236845</v>
      </c>
      <c r="N44" s="190"/>
      <c r="O44" s="77"/>
      <c r="P44" s="23"/>
    </row>
    <row r="45" spans="1:16" ht="57.75" customHeight="1" outlineLevel="1" x14ac:dyDescent="0.25">
      <c r="A45" s="73">
        <v>27</v>
      </c>
      <c r="B45" s="81" t="s">
        <v>101</v>
      </c>
      <c r="C45" s="74" t="s">
        <v>109</v>
      </c>
      <c r="D45" s="69"/>
      <c r="E45" s="96" t="s">
        <v>345</v>
      </c>
      <c r="F45" s="64" t="s">
        <v>110</v>
      </c>
      <c r="G45" s="63" t="s">
        <v>57</v>
      </c>
      <c r="H45" s="79">
        <v>8907500</v>
      </c>
      <c r="I45" s="65">
        <v>8907384.7100000009</v>
      </c>
      <c r="J45" s="208" t="s">
        <v>397</v>
      </c>
      <c r="K45" s="65"/>
      <c r="L45" s="65">
        <v>1241236.448672388</v>
      </c>
      <c r="M45" s="97">
        <f t="shared" si="1"/>
        <v>8907384.7100000009</v>
      </c>
      <c r="N45" s="98" t="s">
        <v>111</v>
      </c>
      <c r="O45" s="77"/>
      <c r="P45" s="23"/>
    </row>
    <row r="46" spans="1:16" ht="78.75" customHeight="1" outlineLevel="1" thickBot="1" x14ac:dyDescent="0.3">
      <c r="A46" s="73">
        <v>28</v>
      </c>
      <c r="B46" s="99" t="s">
        <v>94</v>
      </c>
      <c r="C46" s="100" t="s">
        <v>109</v>
      </c>
      <c r="D46" s="101"/>
      <c r="E46" s="96" t="s">
        <v>346</v>
      </c>
      <c r="F46" s="102" t="s">
        <v>110</v>
      </c>
      <c r="G46" s="44" t="s">
        <v>57</v>
      </c>
      <c r="H46" s="103">
        <v>21092500</v>
      </c>
      <c r="I46" s="65">
        <v>21092210.790000003</v>
      </c>
      <c r="J46" s="209"/>
      <c r="K46" s="65"/>
      <c r="L46" s="65">
        <v>3081286.0102244308</v>
      </c>
      <c r="M46" s="104">
        <f t="shared" si="1"/>
        <v>21092210.790000003</v>
      </c>
      <c r="N46" s="98" t="s">
        <v>112</v>
      </c>
      <c r="O46" s="77"/>
    </row>
    <row r="47" spans="1:16" s="35" customFormat="1" ht="15" customHeight="1" x14ac:dyDescent="0.25">
      <c r="A47" s="171" t="s">
        <v>121</v>
      </c>
      <c r="B47" s="172"/>
      <c r="C47" s="172"/>
      <c r="D47" s="184" t="s">
        <v>35</v>
      </c>
      <c r="E47" s="184"/>
      <c r="F47" s="184"/>
      <c r="G47" s="31"/>
      <c r="H47" s="32">
        <f>SUMIF($G$5:$G$46,D47,$H$5:$H$46)</f>
        <v>275755742.28000003</v>
      </c>
      <c r="I47" s="32">
        <f>SUMIF($G$5:$G$46,D47,$I$5:$I$46)</f>
        <v>97929055.540000007</v>
      </c>
      <c r="J47" s="32"/>
      <c r="K47" s="32">
        <f>SUMIF($G$5:$G$46,D47,$K$5:$K$46)</f>
        <v>28664197.94382428</v>
      </c>
      <c r="L47" s="32">
        <f>SUMIF($G$5:$G$46,D47,$L$5:$L$46)</f>
        <v>13984900.726814378</v>
      </c>
      <c r="M47" s="32">
        <f>SUMIF($G$5:$G$46,D47,$M$5:$M$46)</f>
        <v>69264857.59617573</v>
      </c>
      <c r="N47" s="34"/>
      <c r="O47" s="77"/>
    </row>
    <row r="48" spans="1:16" s="35" customFormat="1" ht="15" customHeight="1" x14ac:dyDescent="0.25">
      <c r="A48" s="160"/>
      <c r="B48" s="161"/>
      <c r="C48" s="161"/>
      <c r="D48" s="178" t="s">
        <v>3</v>
      </c>
      <c r="E48" s="178"/>
      <c r="F48" s="178"/>
      <c r="G48" s="36"/>
      <c r="H48" s="37">
        <f>SUMIF($G$5:$G$46,D48,$H$5:$H$46)</f>
        <v>50705739545.900002</v>
      </c>
      <c r="I48" s="37">
        <f>SUMIF($G$5:$G$46,D48,$I$5:$I$46)</f>
        <v>69320489671.300003</v>
      </c>
      <c r="J48" s="37"/>
      <c r="K48" s="37">
        <f>SUMIF($G$5:$G$46,D48,$K$5:$K$46)</f>
        <v>5686207044.0763149</v>
      </c>
      <c r="L48" s="37">
        <f>SUMIF($G$5:$G$46,D48,$L$5:$L$46)</f>
        <v>7977064784.3350077</v>
      </c>
      <c r="M48" s="37">
        <f>SUMIF($G$5:$G$46,D48,$M$5:$M$46)</f>
        <v>63634282627.223679</v>
      </c>
      <c r="N48" s="38"/>
      <c r="O48" s="77"/>
    </row>
    <row r="49" spans="1:15" s="35" customFormat="1" ht="15" customHeight="1" x14ac:dyDescent="0.25">
      <c r="A49" s="160"/>
      <c r="B49" s="161"/>
      <c r="C49" s="161"/>
      <c r="D49" s="178" t="s">
        <v>57</v>
      </c>
      <c r="E49" s="178"/>
      <c r="F49" s="178"/>
      <c r="G49" s="36"/>
      <c r="H49" s="37">
        <f>SUMIF($G$5:$G$46,D49,$H$5:$H$46)</f>
        <v>443654882.94000006</v>
      </c>
      <c r="I49" s="37">
        <f>SUMIF($G$5:$G$46,D49,$I$5:$I$46)</f>
        <v>321857793.61000001</v>
      </c>
      <c r="J49" s="37"/>
      <c r="K49" s="37">
        <f>SUMIF($G$5:$G$46,D49,$K$5:$K$46)</f>
        <v>74382521.962958723</v>
      </c>
      <c r="L49" s="37">
        <f>SUMIF($G$5:$G$46,D49,$L$5:$L$46)</f>
        <v>40306542.7893437</v>
      </c>
      <c r="M49" s="37">
        <f>SUMIF($G$5:$G$46,D49,$M$5:$M$46)</f>
        <v>247475271.64704129</v>
      </c>
      <c r="N49" s="38"/>
      <c r="O49" s="77"/>
    </row>
    <row r="50" spans="1:15" s="35" customFormat="1" ht="15" customHeight="1" x14ac:dyDescent="0.25">
      <c r="A50" s="160"/>
      <c r="B50" s="161"/>
      <c r="C50" s="161"/>
      <c r="D50" s="180" t="s">
        <v>77</v>
      </c>
      <c r="E50" s="180"/>
      <c r="F50" s="180"/>
      <c r="G50" s="49"/>
      <c r="H50" s="105">
        <f>SUMIF($G$5:$G$46,D50,$H$5:$H$46)</f>
        <v>31777311969</v>
      </c>
      <c r="I50" s="105">
        <f>SUMIF($G$5:$G$46,D50,$I$5:$I$46)</f>
        <v>31859249643</v>
      </c>
      <c r="J50" s="105"/>
      <c r="K50" s="105">
        <f>SUMIF($G$5:$G$46,D50,$K$5:$K$46)</f>
        <v>10468472425.228352</v>
      </c>
      <c r="L50" s="105">
        <f>SUMIF($G$5:$G$46,D50,$L$5:$L$46)</f>
        <v>3314986633.2419791</v>
      </c>
      <c r="M50" s="105">
        <f>SUMIF($G$5:$G$46,D50,$M$5:$M$46)</f>
        <v>21390777217.771648</v>
      </c>
      <c r="N50" s="50"/>
      <c r="O50" s="77"/>
    </row>
    <row r="51" spans="1:15" s="35" customFormat="1" ht="15" customHeight="1" thickBot="1" x14ac:dyDescent="0.3">
      <c r="A51" s="181"/>
      <c r="B51" s="182"/>
      <c r="C51" s="182"/>
      <c r="D51" s="168" t="s">
        <v>67</v>
      </c>
      <c r="E51" s="169"/>
      <c r="F51" s="170"/>
      <c r="G51" s="39"/>
      <c r="H51" s="40">
        <f>SUMIF($G$5:$G$46,D51,$H$5:$H$46)</f>
        <v>24086688</v>
      </c>
      <c r="I51" s="40">
        <f>SUMIF($G$5:$G$46,D51,$I$5:$I$46)</f>
        <v>18496922.612149809</v>
      </c>
      <c r="J51" s="40"/>
      <c r="K51" s="40">
        <f>SUMIF($G$5:$G$46,D51,$K$5:$K$46)</f>
        <v>2951863.7028913228</v>
      </c>
      <c r="L51" s="40">
        <f>SUMIF($G$5:$G$46,D51,$L$5:$L$46)</f>
        <v>2051839.9573989229</v>
      </c>
      <c r="M51" s="40">
        <f>SUMIF($G$5:$G$46,D51,$M$5:$M$46)</f>
        <v>15545058.909258485</v>
      </c>
      <c r="N51" s="41"/>
      <c r="O51" s="77"/>
    </row>
    <row r="52" spans="1:15" ht="78" customHeight="1" outlineLevel="1" x14ac:dyDescent="0.25">
      <c r="A52" s="106">
        <v>29</v>
      </c>
      <c r="B52" s="107" t="s">
        <v>122</v>
      </c>
      <c r="C52" s="99" t="s">
        <v>123</v>
      </c>
      <c r="D52" s="62" t="s">
        <v>124</v>
      </c>
      <c r="E52" s="96" t="s">
        <v>347</v>
      </c>
      <c r="F52" s="96" t="s">
        <v>125</v>
      </c>
      <c r="G52" s="63" t="s">
        <v>35</v>
      </c>
      <c r="H52" s="64">
        <v>5000000</v>
      </c>
      <c r="I52" s="64">
        <v>5000000</v>
      </c>
      <c r="J52" s="108" t="s">
        <v>126</v>
      </c>
      <c r="K52" s="64">
        <v>4166666.6925234399</v>
      </c>
      <c r="L52" s="64">
        <v>523498.34149602189</v>
      </c>
      <c r="M52" s="64">
        <f t="shared" ref="M52:M57" si="2">I52-K52</f>
        <v>833333.30747656012</v>
      </c>
      <c r="N52" s="67" t="s">
        <v>82</v>
      </c>
    </row>
    <row r="53" spans="1:15" ht="71.25" customHeight="1" outlineLevel="1" x14ac:dyDescent="0.25">
      <c r="A53" s="90">
        <v>30</v>
      </c>
      <c r="B53" s="200" t="s">
        <v>127</v>
      </c>
      <c r="C53" s="91" t="s">
        <v>128</v>
      </c>
      <c r="D53" s="95" t="s">
        <v>124</v>
      </c>
      <c r="E53" s="109" t="s">
        <v>348</v>
      </c>
      <c r="F53" s="109" t="s">
        <v>129</v>
      </c>
      <c r="G53" s="70" t="s">
        <v>35</v>
      </c>
      <c r="H53" s="65">
        <v>5000000</v>
      </c>
      <c r="I53" s="65">
        <v>5000000</v>
      </c>
      <c r="J53" s="92" t="s">
        <v>126</v>
      </c>
      <c r="K53" s="65">
        <v>3125000</v>
      </c>
      <c r="L53" s="65">
        <v>291720.90000000002</v>
      </c>
      <c r="M53" s="65">
        <f t="shared" si="2"/>
        <v>1875000</v>
      </c>
      <c r="N53" s="189" t="s">
        <v>82</v>
      </c>
    </row>
    <row r="54" spans="1:15" ht="71.25" customHeight="1" outlineLevel="1" x14ac:dyDescent="0.25">
      <c r="A54" s="90">
        <v>31</v>
      </c>
      <c r="B54" s="193"/>
      <c r="C54" s="91"/>
      <c r="D54" s="95"/>
      <c r="E54" s="109"/>
      <c r="F54" s="109"/>
      <c r="G54" s="110" t="s">
        <v>3</v>
      </c>
      <c r="H54" s="65"/>
      <c r="I54" s="65">
        <v>66094595</v>
      </c>
      <c r="J54" s="92"/>
      <c r="K54" s="65">
        <v>6609471.4408984035</v>
      </c>
      <c r="L54" s="65">
        <v>167622.63173653893</v>
      </c>
      <c r="M54" s="65">
        <f t="shared" si="2"/>
        <v>59485123.559101596</v>
      </c>
      <c r="N54" s="190"/>
    </row>
    <row r="55" spans="1:15" ht="55.5" customHeight="1" outlineLevel="1" x14ac:dyDescent="0.25">
      <c r="A55" s="73">
        <v>32</v>
      </c>
      <c r="B55" s="81" t="s">
        <v>130</v>
      </c>
      <c r="C55" s="74" t="s">
        <v>131</v>
      </c>
      <c r="D55" s="69" t="s">
        <v>132</v>
      </c>
      <c r="E55" s="75" t="s">
        <v>349</v>
      </c>
      <c r="F55" s="75" t="s">
        <v>133</v>
      </c>
      <c r="G55" s="70" t="s">
        <v>35</v>
      </c>
      <c r="H55" s="65">
        <v>5000000</v>
      </c>
      <c r="I55" s="65">
        <v>5000000</v>
      </c>
      <c r="J55" s="76" t="s">
        <v>126</v>
      </c>
      <c r="K55" s="65">
        <v>3227272.7406421094</v>
      </c>
      <c r="L55" s="65">
        <v>320570.26842924446</v>
      </c>
      <c r="M55" s="65">
        <f t="shared" si="2"/>
        <v>1772727.2593578906</v>
      </c>
      <c r="N55" s="72" t="s">
        <v>82</v>
      </c>
    </row>
    <row r="56" spans="1:15" ht="57" customHeight="1" outlineLevel="1" x14ac:dyDescent="0.25">
      <c r="A56" s="198">
        <v>33</v>
      </c>
      <c r="B56" s="200" t="s">
        <v>134</v>
      </c>
      <c r="C56" s="186" t="s">
        <v>135</v>
      </c>
      <c r="D56" s="95" t="s">
        <v>132</v>
      </c>
      <c r="E56" s="109" t="s">
        <v>350</v>
      </c>
      <c r="F56" s="109" t="s">
        <v>136</v>
      </c>
      <c r="G56" s="110" t="s">
        <v>35</v>
      </c>
      <c r="H56" s="111">
        <v>5000000</v>
      </c>
      <c r="I56" s="65">
        <v>3000000</v>
      </c>
      <c r="J56" s="94" t="s">
        <v>294</v>
      </c>
      <c r="K56" s="65">
        <v>566091.95402298844</v>
      </c>
      <c r="L56" s="65">
        <v>207082.43728803218</v>
      </c>
      <c r="M56" s="111">
        <f t="shared" si="2"/>
        <v>2433908.0459770113</v>
      </c>
      <c r="N56" s="189" t="s">
        <v>82</v>
      </c>
    </row>
    <row r="57" spans="1:15" ht="57" customHeight="1" outlineLevel="1" thickBot="1" x14ac:dyDescent="0.3">
      <c r="A57" s="204"/>
      <c r="B57" s="205"/>
      <c r="C57" s="206"/>
      <c r="D57" s="95" t="s">
        <v>132</v>
      </c>
      <c r="E57" s="109" t="s">
        <v>350</v>
      </c>
      <c r="F57" s="109" t="s">
        <v>274</v>
      </c>
      <c r="G57" s="110" t="s">
        <v>3</v>
      </c>
      <c r="H57" s="111"/>
      <c r="I57" s="65">
        <v>69055257.109999999</v>
      </c>
      <c r="J57" s="94">
        <v>1.404E-2</v>
      </c>
      <c r="K57" s="65">
        <v>7284586.1214816347</v>
      </c>
      <c r="L57" s="65">
        <v>964864.45105317794</v>
      </c>
      <c r="M57" s="111">
        <f t="shared" si="2"/>
        <v>61770670.988518365</v>
      </c>
      <c r="N57" s="207"/>
    </row>
    <row r="58" spans="1:15" s="35" customFormat="1" ht="15" customHeight="1" x14ac:dyDescent="0.25">
      <c r="A58" s="171" t="s">
        <v>137</v>
      </c>
      <c r="B58" s="172"/>
      <c r="C58" s="172"/>
      <c r="D58" s="184" t="s">
        <v>35</v>
      </c>
      <c r="E58" s="184"/>
      <c r="F58" s="184"/>
      <c r="G58" s="31"/>
      <c r="H58" s="32">
        <f>SUMIF($G$52:$G$57,D58,$H$52:$H$57)</f>
        <v>20000000</v>
      </c>
      <c r="I58" s="32">
        <f>SUMIF($G$52:$G$57,D58,$I$52:$I$57)</f>
        <v>18000000</v>
      </c>
      <c r="J58" s="33"/>
      <c r="K58" s="32">
        <f>SUMIF($G$52:$G$57,D58,$K$52:$K$57)</f>
        <v>11085031.387188539</v>
      </c>
      <c r="L58" s="32">
        <f>SUMIF($G$52:$G$57,D58,$L$52:$L$57)</f>
        <v>1342871.9472132984</v>
      </c>
      <c r="M58" s="32">
        <f>SUMIF($G$52:$G$57,D58,$M$52:$M$57)</f>
        <v>6914968.612811462</v>
      </c>
      <c r="N58" s="34"/>
      <c r="O58" s="77"/>
    </row>
    <row r="59" spans="1:15" s="35" customFormat="1" ht="15" customHeight="1" x14ac:dyDescent="0.25">
      <c r="A59" s="160"/>
      <c r="B59" s="161"/>
      <c r="C59" s="161"/>
      <c r="D59" s="178" t="s">
        <v>3</v>
      </c>
      <c r="E59" s="178"/>
      <c r="F59" s="178"/>
      <c r="G59" s="36"/>
      <c r="H59" s="37">
        <f>SUMIF($G$52:$G$57,D59,$H$52:$H$57)</f>
        <v>0</v>
      </c>
      <c r="I59" s="37">
        <f>SUMIF($G$52:$G$57,D59,$I$52:$I$57)</f>
        <v>135149852.11000001</v>
      </c>
      <c r="J59" s="37"/>
      <c r="K59" s="37">
        <f>SUMIF($G$52:$G$57,D59,$K$52:$K$57)</f>
        <v>13894057.562380038</v>
      </c>
      <c r="L59" s="37">
        <f>SUMIF($G$52:$G$57,D59,$L$52:$L$57)</f>
        <v>1132487.0827897168</v>
      </c>
      <c r="M59" s="37">
        <f>SUMIF($G$52:$G$57,D59,$M$52:$M$57)</f>
        <v>121255794.54761997</v>
      </c>
      <c r="N59" s="38"/>
      <c r="O59" s="77"/>
    </row>
    <row r="60" spans="1:15" s="35" customFormat="1" ht="15" customHeight="1" x14ac:dyDescent="0.25">
      <c r="A60" s="160"/>
      <c r="B60" s="161"/>
      <c r="C60" s="161"/>
      <c r="D60" s="178" t="s">
        <v>57</v>
      </c>
      <c r="E60" s="178"/>
      <c r="F60" s="178"/>
      <c r="G60" s="36"/>
      <c r="H60" s="37">
        <f>SUMIF($G$52:$G$57,D60,$H$52:$H$57)</f>
        <v>0</v>
      </c>
      <c r="I60" s="37">
        <f>SUMIF($G$52:$G$57,D60,$I$52:$I$57)</f>
        <v>0</v>
      </c>
      <c r="J60" s="37"/>
      <c r="K60" s="37">
        <f>SUMIF($G$52:$G$57,D60,$K$52:$K$57)</f>
        <v>0</v>
      </c>
      <c r="L60" s="37">
        <f>SUMIF($G$52:$G$57,D60,$L$52:$L$57)</f>
        <v>0</v>
      </c>
      <c r="M60" s="37">
        <f>SUMIF($G$52:$G$57,D60,$M$52:$M$57)</f>
        <v>0</v>
      </c>
      <c r="N60" s="38"/>
      <c r="O60" s="77"/>
    </row>
    <row r="61" spans="1:15" s="35" customFormat="1" ht="15" customHeight="1" thickBot="1" x14ac:dyDescent="0.3">
      <c r="A61" s="181"/>
      <c r="B61" s="182"/>
      <c r="C61" s="182"/>
      <c r="D61" s="185" t="s">
        <v>77</v>
      </c>
      <c r="E61" s="185"/>
      <c r="F61" s="185"/>
      <c r="G61" s="39"/>
      <c r="H61" s="40">
        <f>SUMIF($G$52:$G$57,D61,$H$52:$H$57)</f>
        <v>0</v>
      </c>
      <c r="I61" s="40">
        <f>SUMIF($G$52:$G$57,D61,$I$52:$I$57)</f>
        <v>0</v>
      </c>
      <c r="J61" s="40"/>
      <c r="K61" s="40">
        <f>SUMIF($G$52:$G$57,D61,$K$52:$K$57)</f>
        <v>0</v>
      </c>
      <c r="L61" s="40">
        <f>SUMIF($G$52:$G$57,D61,$L$52:$L$57)</f>
        <v>0</v>
      </c>
      <c r="M61" s="40">
        <f>SUMIF($G$52:$G$57,D61,$M$52:$M$57)</f>
        <v>0</v>
      </c>
      <c r="N61" s="41"/>
      <c r="O61" s="77"/>
    </row>
    <row r="62" spans="1:15" s="30" customFormat="1" ht="91.5" customHeight="1" outlineLevel="1" x14ac:dyDescent="0.25">
      <c r="A62" s="73">
        <v>34</v>
      </c>
      <c r="B62" s="74" t="s">
        <v>138</v>
      </c>
      <c r="C62" s="74" t="s">
        <v>139</v>
      </c>
      <c r="D62" s="74" t="s">
        <v>107</v>
      </c>
      <c r="E62" s="112" t="s">
        <v>351</v>
      </c>
      <c r="F62" s="74" t="s">
        <v>140</v>
      </c>
      <c r="G62" s="74" t="s">
        <v>3</v>
      </c>
      <c r="H62" s="65">
        <v>74000000000</v>
      </c>
      <c r="I62" s="65">
        <v>74000000000</v>
      </c>
      <c r="J62" s="76" t="s">
        <v>141</v>
      </c>
      <c r="K62" s="65">
        <f>38761904762.2+1761904761.9+1761904761.9+1761904761.9+1761904761.9+1761904761.9+1761904761.9+1761904761.9+1761904761.9+1761904761.9+1761904761.9+1761904761.9+1761904761.9+1761904761.9</f>
        <v>61666666666.900017</v>
      </c>
      <c r="L62" s="65">
        <f>27339833897.7+5902650.9+17381373.8</f>
        <v>27363117922.400002</v>
      </c>
      <c r="M62" s="87">
        <f t="shared" ref="M62:M68" si="3">I62-K62</f>
        <v>12333333333.099983</v>
      </c>
      <c r="N62" s="72" t="s">
        <v>82</v>
      </c>
      <c r="O62" s="60"/>
    </row>
    <row r="63" spans="1:15" s="30" customFormat="1" ht="91.5" customHeight="1" outlineLevel="1" x14ac:dyDescent="0.25">
      <c r="A63" s="73">
        <v>35</v>
      </c>
      <c r="B63" s="74" t="s">
        <v>138</v>
      </c>
      <c r="C63" s="74" t="s">
        <v>142</v>
      </c>
      <c r="D63" s="74" t="s">
        <v>295</v>
      </c>
      <c r="E63" s="112" t="s">
        <v>352</v>
      </c>
      <c r="F63" s="74" t="s">
        <v>143</v>
      </c>
      <c r="G63" s="74" t="s">
        <v>3</v>
      </c>
      <c r="H63" s="65">
        <v>2035890300</v>
      </c>
      <c r="I63" s="65">
        <v>2035890300</v>
      </c>
      <c r="J63" s="76" t="s">
        <v>50</v>
      </c>
      <c r="K63" s="65">
        <v>0</v>
      </c>
      <c r="L63" s="65">
        <v>0</v>
      </c>
      <c r="M63" s="87">
        <f t="shared" si="3"/>
        <v>2035890300</v>
      </c>
      <c r="N63" s="72" t="s">
        <v>82</v>
      </c>
      <c r="O63" s="60"/>
    </row>
    <row r="64" spans="1:15" ht="121.5" outlineLevel="1" x14ac:dyDescent="0.25">
      <c r="A64" s="106">
        <v>36</v>
      </c>
      <c r="B64" s="81" t="s">
        <v>144</v>
      </c>
      <c r="C64" s="74" t="s">
        <v>145</v>
      </c>
      <c r="D64" s="69" t="s">
        <v>33</v>
      </c>
      <c r="E64" s="75" t="s">
        <v>353</v>
      </c>
      <c r="F64" s="69" t="s">
        <v>146</v>
      </c>
      <c r="G64" s="70" t="s">
        <v>35</v>
      </c>
      <c r="H64" s="65">
        <v>3500000</v>
      </c>
      <c r="I64" s="65">
        <v>3500000</v>
      </c>
      <c r="J64" s="76">
        <v>7.4999999999999997E-3</v>
      </c>
      <c r="K64" s="65">
        <f>696000+31440060/542.07+58000</f>
        <v>812000</v>
      </c>
      <c r="L64" s="65">
        <f>399592.922231146+10515+10297.5</f>
        <v>420405.42223114602</v>
      </c>
      <c r="M64" s="87">
        <f t="shared" si="3"/>
        <v>2688000</v>
      </c>
      <c r="N64" s="72" t="s">
        <v>82</v>
      </c>
    </row>
    <row r="65" spans="1:15" ht="69" customHeight="1" outlineLevel="1" x14ac:dyDescent="0.25">
      <c r="A65" s="73">
        <v>37</v>
      </c>
      <c r="B65" s="81" t="s">
        <v>147</v>
      </c>
      <c r="C65" s="74" t="s">
        <v>148</v>
      </c>
      <c r="D65" s="74" t="s">
        <v>149</v>
      </c>
      <c r="E65" s="71" t="s">
        <v>354</v>
      </c>
      <c r="F65" s="69" t="s">
        <v>150</v>
      </c>
      <c r="G65" s="70" t="s">
        <v>57</v>
      </c>
      <c r="H65" s="87">
        <v>1689937.9</v>
      </c>
      <c r="I65" s="65">
        <v>1689937.9</v>
      </c>
      <c r="J65" s="85">
        <v>5.9900000000000002E-2</v>
      </c>
      <c r="K65" s="65">
        <f>788166.37+28165</f>
        <v>816331.37</v>
      </c>
      <c r="L65" s="65">
        <f>1910586.5+27294.41</f>
        <v>1937880.91</v>
      </c>
      <c r="M65" s="87">
        <f t="shared" si="3"/>
        <v>873606.52999999991</v>
      </c>
      <c r="N65" s="113" t="s">
        <v>82</v>
      </c>
    </row>
    <row r="66" spans="1:15" ht="69.75" customHeight="1" outlineLevel="1" x14ac:dyDescent="0.25">
      <c r="A66" s="106">
        <v>38</v>
      </c>
      <c r="B66" s="81" t="s">
        <v>151</v>
      </c>
      <c r="C66" s="74" t="s">
        <v>152</v>
      </c>
      <c r="D66" s="74" t="s">
        <v>149</v>
      </c>
      <c r="E66" s="71" t="s">
        <v>355</v>
      </c>
      <c r="F66" s="69" t="s">
        <v>153</v>
      </c>
      <c r="G66" s="70" t="s">
        <v>57</v>
      </c>
      <c r="H66" s="87">
        <v>2828000</v>
      </c>
      <c r="I66" s="65">
        <v>2828000</v>
      </c>
      <c r="J66" s="85">
        <v>5.9900000000000002E-2</v>
      </c>
      <c r="K66" s="87">
        <v>1081862.33</v>
      </c>
      <c r="L66" s="65">
        <v>2863925.1100000008</v>
      </c>
      <c r="M66" s="87">
        <f t="shared" si="3"/>
        <v>1746137.67</v>
      </c>
      <c r="N66" s="113" t="s">
        <v>82</v>
      </c>
    </row>
    <row r="67" spans="1:15" s="42" customFormat="1" ht="177" customHeight="1" outlineLevel="1" x14ac:dyDescent="0.2">
      <c r="A67" s="73">
        <v>39</v>
      </c>
      <c r="B67" s="81" t="s">
        <v>154</v>
      </c>
      <c r="C67" s="74" t="s">
        <v>155</v>
      </c>
      <c r="D67" s="74" t="s">
        <v>149</v>
      </c>
      <c r="E67" s="69" t="s">
        <v>356</v>
      </c>
      <c r="F67" s="69" t="s">
        <v>156</v>
      </c>
      <c r="G67" s="74" t="s">
        <v>3</v>
      </c>
      <c r="H67" s="114">
        <v>2092000000</v>
      </c>
      <c r="I67" s="65">
        <v>2092000000</v>
      </c>
      <c r="J67" s="115">
        <v>0.02</v>
      </c>
      <c r="K67" s="65">
        <v>354576270</v>
      </c>
      <c r="L67" s="65">
        <v>428638211.8599999</v>
      </c>
      <c r="M67" s="87">
        <f t="shared" si="3"/>
        <v>1737423730</v>
      </c>
      <c r="N67" s="113" t="s">
        <v>82</v>
      </c>
      <c r="O67" s="116"/>
    </row>
    <row r="68" spans="1:15" s="42" customFormat="1" ht="169.5" customHeight="1" outlineLevel="1" thickBot="1" x14ac:dyDescent="0.25">
      <c r="A68" s="106">
        <v>40</v>
      </c>
      <c r="B68" s="81" t="s">
        <v>154</v>
      </c>
      <c r="C68" s="74" t="s">
        <v>157</v>
      </c>
      <c r="D68" s="74" t="s">
        <v>149</v>
      </c>
      <c r="E68" s="69" t="s">
        <v>357</v>
      </c>
      <c r="F68" s="69" t="s">
        <v>158</v>
      </c>
      <c r="G68" s="69" t="s">
        <v>3</v>
      </c>
      <c r="H68" s="114">
        <v>2187306400</v>
      </c>
      <c r="I68" s="114">
        <v>2187306400</v>
      </c>
      <c r="J68" s="115">
        <v>0.03</v>
      </c>
      <c r="K68" s="65">
        <v>0</v>
      </c>
      <c r="L68" s="65">
        <v>224789707.90000001</v>
      </c>
      <c r="M68" s="87">
        <f t="shared" si="3"/>
        <v>2187306400</v>
      </c>
      <c r="N68" s="113" t="s">
        <v>82</v>
      </c>
      <c r="O68" s="116"/>
    </row>
    <row r="69" spans="1:15" s="35" customFormat="1" ht="15" customHeight="1" x14ac:dyDescent="0.25">
      <c r="A69" s="171" t="s">
        <v>159</v>
      </c>
      <c r="B69" s="172"/>
      <c r="C69" s="172"/>
      <c r="D69" s="184" t="s">
        <v>35</v>
      </c>
      <c r="E69" s="184"/>
      <c r="F69" s="184"/>
      <c r="G69" s="31"/>
      <c r="H69" s="33">
        <f>SUMIF($G$62:$G$68,D69,$H$62:$H$68)</f>
        <v>3500000</v>
      </c>
      <c r="I69" s="33">
        <f>SUMIF($G$62:$G$68,D69,$I$62:$I$68)</f>
        <v>3500000</v>
      </c>
      <c r="J69" s="33"/>
      <c r="K69" s="33">
        <f>SUMIF($G$62:$G$68,D69,$K$62:$K$68)</f>
        <v>812000</v>
      </c>
      <c r="L69" s="33">
        <f>SUMIF($G$62:$G$68,D69,$L$62:$L$68)</f>
        <v>420405.42223114602</v>
      </c>
      <c r="M69" s="33">
        <f>SUMIF($G$62:$G$68,D69,$M$62:$M$68)</f>
        <v>2688000</v>
      </c>
      <c r="N69" s="34"/>
      <c r="O69" s="77"/>
    </row>
    <row r="70" spans="1:15" s="35" customFormat="1" ht="15" customHeight="1" x14ac:dyDescent="0.25">
      <c r="A70" s="160"/>
      <c r="B70" s="161"/>
      <c r="C70" s="161"/>
      <c r="D70" s="178" t="s">
        <v>3</v>
      </c>
      <c r="E70" s="178"/>
      <c r="F70" s="178"/>
      <c r="G70" s="36"/>
      <c r="H70" s="37">
        <f>SUMIF($G$62:$G$68,D70,$H$62:$H$68)</f>
        <v>80315196700</v>
      </c>
      <c r="I70" s="37">
        <f>SUMIF($G$62:$G$68,D70,$I$62:$I$68)</f>
        <v>80315196700</v>
      </c>
      <c r="J70" s="37"/>
      <c r="K70" s="37">
        <f>SUMIF($G$62:$G$68,D70,$K$62:$K$68)</f>
        <v>62021242936.900017</v>
      </c>
      <c r="L70" s="37">
        <f>SUMIF($G$62:$G$68,D70,$L$62:$L$68)</f>
        <v>28016545842.160004</v>
      </c>
      <c r="M70" s="37">
        <f>SUMIF($G$62:$G$68,D70,$M$62:$M$68)</f>
        <v>18293953763.099983</v>
      </c>
      <c r="N70" s="38"/>
      <c r="O70" s="77"/>
    </row>
    <row r="71" spans="1:15" s="35" customFormat="1" ht="15" customHeight="1" x14ac:dyDescent="0.25">
      <c r="A71" s="160"/>
      <c r="B71" s="161"/>
      <c r="C71" s="161"/>
      <c r="D71" s="178" t="s">
        <v>57</v>
      </c>
      <c r="E71" s="178"/>
      <c r="F71" s="178"/>
      <c r="G71" s="36"/>
      <c r="H71" s="37">
        <f>SUMIF($G$62:$G$68,D71,$H$62:$H$68)</f>
        <v>4517937.9000000004</v>
      </c>
      <c r="I71" s="37">
        <f>SUMIF($G$62:$G$68,D71,$I$62:$I$68)</f>
        <v>4517937.9000000004</v>
      </c>
      <c r="J71" s="37"/>
      <c r="K71" s="37">
        <f>SUMIF($G$62:$G$68,D71,$K$62:$K$68)</f>
        <v>1898193.7000000002</v>
      </c>
      <c r="L71" s="37">
        <f>SUMIF($G$62:$G$68,D71,$L$62:$L$68)</f>
        <v>4801806.0200000005</v>
      </c>
      <c r="M71" s="37">
        <f>SUMIF($G$62:$G$68,D71,$M$62:$M$68)</f>
        <v>2619744.1999999997</v>
      </c>
      <c r="N71" s="38"/>
      <c r="O71" s="77"/>
    </row>
    <row r="72" spans="1:15" s="35" customFormat="1" ht="15" customHeight="1" thickBot="1" x14ac:dyDescent="0.3">
      <c r="A72" s="181"/>
      <c r="B72" s="182"/>
      <c r="C72" s="182"/>
      <c r="D72" s="185" t="s">
        <v>77</v>
      </c>
      <c r="E72" s="185"/>
      <c r="F72" s="185"/>
      <c r="G72" s="39"/>
      <c r="H72" s="40">
        <f>SUMIF($G$62:$G$68,D72,$H$62:$H$68)</f>
        <v>0</v>
      </c>
      <c r="I72" s="40">
        <f>SUMIF($G$62:$G$68,D72,$I$62:$I$68)</f>
        <v>0</v>
      </c>
      <c r="J72" s="40"/>
      <c r="K72" s="40">
        <f>SUMIF($G$62:$G$68,D72,$K$62:$K$68)</f>
        <v>0</v>
      </c>
      <c r="L72" s="40">
        <f>SUMIF($G$62:$G$68,D72,$L$62:$L$68)</f>
        <v>0</v>
      </c>
      <c r="M72" s="40">
        <f>SUMIF($G$62:$G$68,D72,$M$62:$M$68)</f>
        <v>0</v>
      </c>
      <c r="N72" s="41"/>
      <c r="O72" s="77"/>
    </row>
    <row r="73" spans="1:15" s="30" customFormat="1" ht="77.25" customHeight="1" outlineLevel="1" x14ac:dyDescent="0.25">
      <c r="A73" s="73">
        <v>41</v>
      </c>
      <c r="B73" s="81" t="s">
        <v>160</v>
      </c>
      <c r="C73" s="74" t="s">
        <v>161</v>
      </c>
      <c r="D73" s="74" t="s">
        <v>99</v>
      </c>
      <c r="E73" s="74" t="s">
        <v>358</v>
      </c>
      <c r="F73" s="74" t="s">
        <v>162</v>
      </c>
      <c r="G73" s="70" t="s">
        <v>57</v>
      </c>
      <c r="H73" s="65">
        <v>361332</v>
      </c>
      <c r="I73" s="65">
        <v>361332</v>
      </c>
      <c r="J73" s="76">
        <v>7.7700000000000005E-2</v>
      </c>
      <c r="K73" s="65">
        <f>162402.753184719+8510000/490.37+(10000000+1000000+500000)/395.19</f>
        <v>208856.92251698021</v>
      </c>
      <c r="L73" s="65">
        <v>187530</v>
      </c>
      <c r="M73" s="87">
        <f>I73-K73</f>
        <v>152475.07748301979</v>
      </c>
      <c r="N73" s="72" t="s">
        <v>163</v>
      </c>
      <c r="O73" s="60"/>
    </row>
    <row r="74" spans="1:15" ht="64.5" customHeight="1" outlineLevel="1" x14ac:dyDescent="0.25">
      <c r="A74" s="73">
        <v>42</v>
      </c>
      <c r="B74" s="81" t="s">
        <v>164</v>
      </c>
      <c r="C74" s="74" t="s">
        <v>165</v>
      </c>
      <c r="D74" s="95" t="s">
        <v>124</v>
      </c>
      <c r="E74" s="75" t="s">
        <v>359</v>
      </c>
      <c r="F74" s="65" t="s">
        <v>166</v>
      </c>
      <c r="G74" s="70" t="s">
        <v>35</v>
      </c>
      <c r="H74" s="65">
        <v>8000000</v>
      </c>
      <c r="I74" s="65">
        <v>80000</v>
      </c>
      <c r="J74" s="76" t="s">
        <v>50</v>
      </c>
      <c r="K74" s="65">
        <f>10909.09+3636.36+3636.36+1428217/392.76</f>
        <v>21818.170627355128</v>
      </c>
      <c r="L74" s="65">
        <f>105386.95+361.72+42360.02+4761284/392.76</f>
        <v>160231.31959568185</v>
      </c>
      <c r="M74" s="87">
        <f>I74-K74</f>
        <v>58181.829372644876</v>
      </c>
      <c r="N74" s="72" t="s">
        <v>167</v>
      </c>
    </row>
    <row r="75" spans="1:15" ht="53.25" customHeight="1" outlineLevel="1" x14ac:dyDescent="0.25">
      <c r="A75" s="73">
        <v>43</v>
      </c>
      <c r="B75" s="81" t="s">
        <v>164</v>
      </c>
      <c r="C75" s="74" t="s">
        <v>168</v>
      </c>
      <c r="D75" s="95" t="s">
        <v>132</v>
      </c>
      <c r="E75" s="75" t="s">
        <v>360</v>
      </c>
      <c r="F75" s="65" t="s">
        <v>166</v>
      </c>
      <c r="G75" s="70" t="s">
        <v>35</v>
      </c>
      <c r="H75" s="65">
        <v>8000000</v>
      </c>
      <c r="I75" s="65"/>
      <c r="J75" s="76" t="s">
        <v>50</v>
      </c>
      <c r="K75" s="65"/>
      <c r="L75" s="65"/>
      <c r="M75" s="87">
        <f>I75-K75</f>
        <v>0</v>
      </c>
      <c r="N75" s="72" t="s">
        <v>167</v>
      </c>
    </row>
    <row r="76" spans="1:15" ht="53.25" customHeight="1" outlineLevel="1" x14ac:dyDescent="0.25">
      <c r="A76" s="198">
        <v>44</v>
      </c>
      <c r="B76" s="200" t="s">
        <v>169</v>
      </c>
      <c r="C76" s="186" t="s">
        <v>272</v>
      </c>
      <c r="D76" s="95"/>
      <c r="E76" s="75" t="s">
        <v>361</v>
      </c>
      <c r="F76" s="186" t="s">
        <v>296</v>
      </c>
      <c r="G76" s="70" t="s">
        <v>35</v>
      </c>
      <c r="H76" s="65">
        <v>5500000</v>
      </c>
      <c r="I76" s="65">
        <v>1384955.78</v>
      </c>
      <c r="J76" s="76" t="s">
        <v>50</v>
      </c>
      <c r="K76" s="65"/>
      <c r="L76" s="65"/>
      <c r="M76" s="87">
        <f t="shared" ref="M76:M82" si="4">I76-K76</f>
        <v>1384955.78</v>
      </c>
      <c r="N76" s="72" t="s">
        <v>82</v>
      </c>
    </row>
    <row r="77" spans="1:15" ht="53.25" customHeight="1" outlineLevel="1" x14ac:dyDescent="0.25">
      <c r="A77" s="199"/>
      <c r="B77" s="193"/>
      <c r="C77" s="194"/>
      <c r="D77" s="95"/>
      <c r="E77" s="75"/>
      <c r="F77" s="194"/>
      <c r="G77" s="69" t="s">
        <v>3</v>
      </c>
      <c r="H77" s="65">
        <v>92733053.200000003</v>
      </c>
      <c r="I77" s="65">
        <f>92733053.2+20276600+1679251+16492341.9+20399976.4</f>
        <v>151581222.5</v>
      </c>
      <c r="J77" s="76"/>
      <c r="K77" s="65"/>
      <c r="L77" s="65"/>
      <c r="M77" s="87">
        <f t="shared" si="4"/>
        <v>151581222.5</v>
      </c>
      <c r="N77" s="72"/>
    </row>
    <row r="78" spans="1:15" ht="54" outlineLevel="1" x14ac:dyDescent="0.25">
      <c r="A78" s="73">
        <v>45</v>
      </c>
      <c r="B78" s="81" t="s">
        <v>170</v>
      </c>
      <c r="C78" s="74" t="s">
        <v>171</v>
      </c>
      <c r="D78" s="74" t="s">
        <v>119</v>
      </c>
      <c r="E78" s="75" t="s">
        <v>362</v>
      </c>
      <c r="F78" s="65" t="s">
        <v>172</v>
      </c>
      <c r="G78" s="69" t="s">
        <v>3</v>
      </c>
      <c r="H78" s="65">
        <v>249300000</v>
      </c>
      <c r="I78" s="65">
        <v>249300000</v>
      </c>
      <c r="J78" s="82">
        <v>1E-3</v>
      </c>
      <c r="K78" s="65">
        <v>42881892.899999999</v>
      </c>
      <c r="L78" s="65">
        <v>528153.5</v>
      </c>
      <c r="M78" s="87">
        <f t="shared" si="4"/>
        <v>206418107.09999999</v>
      </c>
      <c r="N78" s="72" t="s">
        <v>82</v>
      </c>
    </row>
    <row r="79" spans="1:15" ht="84" customHeight="1" outlineLevel="1" x14ac:dyDescent="0.25">
      <c r="A79" s="73">
        <v>46</v>
      </c>
      <c r="B79" s="117" t="s">
        <v>113</v>
      </c>
      <c r="C79" s="91" t="s">
        <v>114</v>
      </c>
      <c r="D79" s="95" t="s">
        <v>107</v>
      </c>
      <c r="E79" s="109" t="s">
        <v>363</v>
      </c>
      <c r="F79" s="111" t="s">
        <v>115</v>
      </c>
      <c r="G79" s="70" t="s">
        <v>57</v>
      </c>
      <c r="H79" s="65">
        <v>4000000</v>
      </c>
      <c r="I79" s="65">
        <v>762056.62999999989</v>
      </c>
      <c r="J79" s="76" t="s">
        <v>50</v>
      </c>
      <c r="K79" s="65">
        <v>387542.70385662862</v>
      </c>
      <c r="L79" s="65">
        <v>169439.98</v>
      </c>
      <c r="M79" s="104">
        <f>I79-K79</f>
        <v>374513.92614337127</v>
      </c>
      <c r="N79" s="98" t="s">
        <v>116</v>
      </c>
    </row>
    <row r="80" spans="1:15" s="42" customFormat="1" ht="132.75" customHeight="1" outlineLevel="1" x14ac:dyDescent="0.2">
      <c r="A80" s="73">
        <v>47</v>
      </c>
      <c r="B80" s="81" t="s">
        <v>173</v>
      </c>
      <c r="C80" s="74" t="s">
        <v>139</v>
      </c>
      <c r="D80" s="69" t="s">
        <v>107</v>
      </c>
      <c r="E80" s="69" t="s">
        <v>364</v>
      </c>
      <c r="F80" s="69" t="s">
        <v>314</v>
      </c>
      <c r="G80" s="69" t="s">
        <v>3</v>
      </c>
      <c r="H80" s="114">
        <v>50600000</v>
      </c>
      <c r="I80" s="65">
        <v>50600000</v>
      </c>
      <c r="J80" s="81" t="s">
        <v>174</v>
      </c>
      <c r="K80" s="65"/>
      <c r="L80" s="65"/>
      <c r="M80" s="114">
        <f t="shared" si="4"/>
        <v>50600000</v>
      </c>
      <c r="N80" s="72" t="s">
        <v>82</v>
      </c>
      <c r="O80" s="116"/>
    </row>
    <row r="81" spans="1:15" s="42" customFormat="1" ht="148.5" customHeight="1" outlineLevel="1" x14ac:dyDescent="0.2">
      <c r="A81" s="73">
        <v>48</v>
      </c>
      <c r="B81" s="81" t="s">
        <v>173</v>
      </c>
      <c r="C81" s="74" t="s">
        <v>139</v>
      </c>
      <c r="D81" s="69" t="s">
        <v>107</v>
      </c>
      <c r="E81" s="69" t="s">
        <v>365</v>
      </c>
      <c r="F81" s="69" t="s">
        <v>315</v>
      </c>
      <c r="G81" s="74" t="s">
        <v>3</v>
      </c>
      <c r="H81" s="114">
        <v>1100000000</v>
      </c>
      <c r="I81" s="65">
        <v>1100000000</v>
      </c>
      <c r="J81" s="81" t="s">
        <v>174</v>
      </c>
      <c r="K81" s="65"/>
      <c r="L81" s="65"/>
      <c r="M81" s="114">
        <f t="shared" si="4"/>
        <v>1100000000</v>
      </c>
      <c r="N81" s="201" t="s">
        <v>275</v>
      </c>
      <c r="O81" s="116"/>
    </row>
    <row r="82" spans="1:15" s="42" customFormat="1" ht="148.5" customHeight="1" outlineLevel="1" x14ac:dyDescent="0.2">
      <c r="A82" s="73">
        <v>49</v>
      </c>
      <c r="B82" s="81" t="s">
        <v>173</v>
      </c>
      <c r="C82" s="74" t="s">
        <v>139</v>
      </c>
      <c r="D82" s="69" t="s">
        <v>107</v>
      </c>
      <c r="E82" s="69" t="s">
        <v>366</v>
      </c>
      <c r="F82" s="69" t="s">
        <v>316</v>
      </c>
      <c r="G82" s="74" t="s">
        <v>3</v>
      </c>
      <c r="H82" s="114">
        <v>792386600</v>
      </c>
      <c r="I82" s="65">
        <v>791031693</v>
      </c>
      <c r="J82" s="81" t="s">
        <v>174</v>
      </c>
      <c r="K82" s="65"/>
      <c r="L82" s="65"/>
      <c r="M82" s="114">
        <f t="shared" si="4"/>
        <v>791031693</v>
      </c>
      <c r="N82" s="202"/>
      <c r="O82" s="116"/>
    </row>
    <row r="83" spans="1:15" s="42" customFormat="1" ht="148.5" customHeight="1" outlineLevel="1" x14ac:dyDescent="0.2">
      <c r="A83" s="73">
        <v>50</v>
      </c>
      <c r="B83" s="81" t="s">
        <v>173</v>
      </c>
      <c r="C83" s="74" t="s">
        <v>139</v>
      </c>
      <c r="D83" s="69" t="s">
        <v>107</v>
      </c>
      <c r="E83" s="69" t="s">
        <v>367</v>
      </c>
      <c r="F83" s="69" t="s">
        <v>317</v>
      </c>
      <c r="G83" s="74" t="s">
        <v>3</v>
      </c>
      <c r="H83" s="114">
        <v>254672300</v>
      </c>
      <c r="I83" s="65">
        <f>168444408+75498000+5196300+5196300</f>
        <v>254335008</v>
      </c>
      <c r="J83" s="81" t="s">
        <v>174</v>
      </c>
      <c r="K83" s="65"/>
      <c r="L83" s="65"/>
      <c r="M83" s="114">
        <f>I83-K83</f>
        <v>254335008</v>
      </c>
      <c r="N83" s="203"/>
      <c r="O83" s="116"/>
    </row>
    <row r="84" spans="1:15" s="42" customFormat="1" ht="60.75" customHeight="1" outlineLevel="1" x14ac:dyDescent="0.2">
      <c r="A84" s="73">
        <v>51</v>
      </c>
      <c r="B84" s="81" t="s">
        <v>175</v>
      </c>
      <c r="C84" s="74" t="s">
        <v>139</v>
      </c>
      <c r="D84" s="69" t="s">
        <v>119</v>
      </c>
      <c r="E84" s="69" t="s">
        <v>368</v>
      </c>
      <c r="F84" s="69" t="s">
        <v>176</v>
      </c>
      <c r="G84" s="74" t="s">
        <v>3</v>
      </c>
      <c r="H84" s="114">
        <v>88731015</v>
      </c>
      <c r="I84" s="65">
        <v>88731000</v>
      </c>
      <c r="J84" s="118">
        <v>8.5000000000000006E-2</v>
      </c>
      <c r="K84" s="65"/>
      <c r="L84" s="65">
        <v>1591081</v>
      </c>
      <c r="M84" s="114">
        <f t="shared" ref="M84:M96" si="5">I84-K84</f>
        <v>88731000</v>
      </c>
      <c r="N84" s="113" t="s">
        <v>177</v>
      </c>
      <c r="O84" s="116"/>
    </row>
    <row r="85" spans="1:15" s="42" customFormat="1" ht="77.25" customHeight="1" outlineLevel="1" x14ac:dyDescent="0.2">
      <c r="A85" s="73">
        <v>52</v>
      </c>
      <c r="B85" s="81" t="s">
        <v>178</v>
      </c>
      <c r="C85" s="74" t="s">
        <v>179</v>
      </c>
      <c r="D85" s="69" t="s">
        <v>119</v>
      </c>
      <c r="E85" s="69" t="s">
        <v>369</v>
      </c>
      <c r="F85" s="69" t="s">
        <v>180</v>
      </c>
      <c r="G85" s="74" t="s">
        <v>3</v>
      </c>
      <c r="H85" s="114">
        <v>3840000000</v>
      </c>
      <c r="I85" s="65">
        <v>3840000000</v>
      </c>
      <c r="J85" s="119">
        <v>1.0000000000000001E-5</v>
      </c>
      <c r="K85" s="65">
        <v>3484641868</v>
      </c>
      <c r="L85" s="65">
        <v>37169</v>
      </c>
      <c r="M85" s="114">
        <f t="shared" si="5"/>
        <v>355358132</v>
      </c>
      <c r="N85" s="113" t="s">
        <v>82</v>
      </c>
      <c r="O85" s="116"/>
    </row>
    <row r="86" spans="1:15" ht="94.5" outlineLevel="1" x14ac:dyDescent="0.25">
      <c r="A86" s="73">
        <v>53</v>
      </c>
      <c r="B86" s="117" t="s">
        <v>181</v>
      </c>
      <c r="C86" s="91" t="s">
        <v>179</v>
      </c>
      <c r="D86" s="91" t="s">
        <v>149</v>
      </c>
      <c r="E86" s="74" t="s">
        <v>370</v>
      </c>
      <c r="F86" s="74" t="s">
        <v>182</v>
      </c>
      <c r="G86" s="74" t="s">
        <v>57</v>
      </c>
      <c r="H86" s="120">
        <v>8944984.0899999999</v>
      </c>
      <c r="I86" s="65">
        <v>8944984.0899999999</v>
      </c>
      <c r="J86" s="121">
        <v>7.4999999999999997E-3</v>
      </c>
      <c r="K86" s="65">
        <v>2274148.4999999995</v>
      </c>
      <c r="L86" s="65">
        <f>881276.03+25084.35</f>
        <v>906360.38</v>
      </c>
      <c r="M86" s="87">
        <f t="shared" si="5"/>
        <v>6670835.5899999999</v>
      </c>
      <c r="N86" s="98" t="s">
        <v>82</v>
      </c>
    </row>
    <row r="87" spans="1:15" ht="63" customHeight="1" outlineLevel="1" x14ac:dyDescent="0.25">
      <c r="A87" s="198">
        <v>54</v>
      </c>
      <c r="B87" s="200" t="s">
        <v>183</v>
      </c>
      <c r="C87" s="186" t="s">
        <v>179</v>
      </c>
      <c r="D87" s="186" t="s">
        <v>149</v>
      </c>
      <c r="E87" s="186" t="s">
        <v>371</v>
      </c>
      <c r="F87" s="74" t="s">
        <v>184</v>
      </c>
      <c r="G87" s="74" t="s">
        <v>3</v>
      </c>
      <c r="H87" s="120">
        <v>93025000</v>
      </c>
      <c r="I87" s="65">
        <v>93025000</v>
      </c>
      <c r="J87" s="121">
        <v>7.4999999999999997E-3</v>
      </c>
      <c r="K87" s="65">
        <v>13023500</v>
      </c>
      <c r="L87" s="65">
        <f>8639616.28+303064</f>
        <v>8942680.2799999993</v>
      </c>
      <c r="M87" s="87">
        <f t="shared" si="5"/>
        <v>80001500</v>
      </c>
      <c r="N87" s="189" t="s">
        <v>82</v>
      </c>
    </row>
    <row r="88" spans="1:15" ht="63" customHeight="1" outlineLevel="1" x14ac:dyDescent="0.25">
      <c r="A88" s="199"/>
      <c r="B88" s="193"/>
      <c r="C88" s="194"/>
      <c r="D88" s="194"/>
      <c r="E88" s="194"/>
      <c r="F88" s="74" t="s">
        <v>184</v>
      </c>
      <c r="G88" s="74" t="s">
        <v>57</v>
      </c>
      <c r="H88" s="120">
        <v>5217725</v>
      </c>
      <c r="I88" s="65">
        <v>5217725</v>
      </c>
      <c r="J88" s="121">
        <v>7.4999999999999997E-3</v>
      </c>
      <c r="K88" s="65">
        <v>730481.25</v>
      </c>
      <c r="L88" s="65">
        <f>505356.93+16873.26</f>
        <v>522230.19</v>
      </c>
      <c r="M88" s="87">
        <f t="shared" si="5"/>
        <v>4487243.75</v>
      </c>
      <c r="N88" s="190"/>
    </row>
    <row r="89" spans="1:15" ht="94.5" outlineLevel="1" x14ac:dyDescent="0.25">
      <c r="A89" s="73">
        <v>55</v>
      </c>
      <c r="B89" s="117" t="s">
        <v>185</v>
      </c>
      <c r="C89" s="91" t="s">
        <v>179</v>
      </c>
      <c r="D89" s="91" t="s">
        <v>149</v>
      </c>
      <c r="E89" s="74" t="s">
        <v>372</v>
      </c>
      <c r="F89" s="74" t="s">
        <v>186</v>
      </c>
      <c r="G89" s="74" t="s">
        <v>57</v>
      </c>
      <c r="H89" s="120">
        <v>1989000</v>
      </c>
      <c r="I89" s="65">
        <v>1989000</v>
      </c>
      <c r="J89" s="121">
        <v>7.4999999999999997E-3</v>
      </c>
      <c r="K89" s="65">
        <v>303406.87999999995</v>
      </c>
      <c r="L89" s="65">
        <f>164634.31+6338.29</f>
        <v>170972.6</v>
      </c>
      <c r="M89" s="87">
        <f t="shared" si="5"/>
        <v>1685593.12</v>
      </c>
      <c r="N89" s="98" t="s">
        <v>82</v>
      </c>
    </row>
    <row r="90" spans="1:15" ht="108" customHeight="1" outlineLevel="1" x14ac:dyDescent="0.25">
      <c r="A90" s="73">
        <v>56</v>
      </c>
      <c r="B90" s="117" t="s">
        <v>318</v>
      </c>
      <c r="C90" s="91" t="s">
        <v>319</v>
      </c>
      <c r="D90" s="91" t="s">
        <v>149</v>
      </c>
      <c r="E90" s="91" t="s">
        <v>373</v>
      </c>
      <c r="F90" s="91" t="s">
        <v>320</v>
      </c>
      <c r="G90" s="74" t="s">
        <v>3</v>
      </c>
      <c r="H90" s="120">
        <v>2047212646</v>
      </c>
      <c r="I90" s="111">
        <v>2047212646</v>
      </c>
      <c r="J90" s="121">
        <v>0.02</v>
      </c>
      <c r="K90" s="65">
        <v>0</v>
      </c>
      <c r="L90" s="65">
        <v>88017538.400000006</v>
      </c>
      <c r="M90" s="87">
        <v>2047212646</v>
      </c>
      <c r="N90" s="98" t="s">
        <v>82</v>
      </c>
    </row>
    <row r="91" spans="1:15" ht="153.75" customHeight="1" outlineLevel="1" x14ac:dyDescent="0.25">
      <c r="A91" s="90">
        <v>57</v>
      </c>
      <c r="B91" s="117" t="s">
        <v>187</v>
      </c>
      <c r="C91" s="91" t="s">
        <v>188</v>
      </c>
      <c r="D91" s="91" t="s">
        <v>99</v>
      </c>
      <c r="E91" s="91" t="s">
        <v>374</v>
      </c>
      <c r="F91" s="91" t="s">
        <v>189</v>
      </c>
      <c r="G91" s="74" t="s">
        <v>57</v>
      </c>
      <c r="H91" s="120">
        <v>2217000</v>
      </c>
      <c r="I91" s="120">
        <v>2217000</v>
      </c>
      <c r="J91" s="122">
        <v>0.02</v>
      </c>
      <c r="K91" s="65">
        <v>1656550.78</v>
      </c>
      <c r="L91" s="65">
        <v>108750.1203452351</v>
      </c>
      <c r="M91" s="87">
        <v>1010837.1</v>
      </c>
      <c r="N91" s="98" t="s">
        <v>190</v>
      </c>
    </row>
    <row r="92" spans="1:15" ht="123" customHeight="1" outlineLevel="1" x14ac:dyDescent="0.25">
      <c r="A92" s="73">
        <v>58</v>
      </c>
      <c r="B92" s="81" t="s">
        <v>307</v>
      </c>
      <c r="C92" s="74" t="s">
        <v>308</v>
      </c>
      <c r="D92" s="74" t="s">
        <v>309</v>
      </c>
      <c r="E92" s="74" t="s">
        <v>375</v>
      </c>
      <c r="F92" s="91" t="s">
        <v>310</v>
      </c>
      <c r="G92" s="74" t="s">
        <v>35</v>
      </c>
      <c r="H92" s="120">
        <v>4199559.68</v>
      </c>
      <c r="I92" s="120">
        <v>4199559.68</v>
      </c>
      <c r="J92" s="122" t="s">
        <v>311</v>
      </c>
      <c r="K92" s="65"/>
      <c r="L92" s="123">
        <v>77849.88</v>
      </c>
      <c r="M92" s="87">
        <v>4199559.68</v>
      </c>
      <c r="N92" s="98" t="s">
        <v>312</v>
      </c>
    </row>
    <row r="93" spans="1:15" s="42" customFormat="1" ht="52.5" customHeight="1" outlineLevel="1" x14ac:dyDescent="0.2">
      <c r="A93" s="191">
        <v>59</v>
      </c>
      <c r="B93" s="192" t="s">
        <v>191</v>
      </c>
      <c r="C93" s="187" t="s">
        <v>192</v>
      </c>
      <c r="D93" s="187"/>
      <c r="E93" s="195" t="s">
        <v>376</v>
      </c>
      <c r="F93" s="197" t="s">
        <v>193</v>
      </c>
      <c r="G93" s="70" t="s">
        <v>57</v>
      </c>
      <c r="H93" s="114">
        <v>237758.39</v>
      </c>
      <c r="I93" s="65">
        <v>237758.39</v>
      </c>
      <c r="J93" s="82"/>
      <c r="K93" s="65"/>
      <c r="L93" s="65"/>
      <c r="M93" s="114">
        <f>I93-K93</f>
        <v>237758.39</v>
      </c>
      <c r="N93" s="189" t="s">
        <v>82</v>
      </c>
      <c r="O93" s="116"/>
    </row>
    <row r="94" spans="1:15" s="42" customFormat="1" ht="52.5" customHeight="1" outlineLevel="1" x14ac:dyDescent="0.2">
      <c r="A94" s="191"/>
      <c r="B94" s="193"/>
      <c r="C94" s="194"/>
      <c r="D94" s="194"/>
      <c r="E94" s="196"/>
      <c r="F94" s="196"/>
      <c r="G94" s="110" t="s">
        <v>3</v>
      </c>
      <c r="H94" s="124">
        <v>28883700</v>
      </c>
      <c r="I94" s="65">
        <v>28883700</v>
      </c>
      <c r="J94" s="125"/>
      <c r="K94" s="65"/>
      <c r="L94" s="65"/>
      <c r="M94" s="114">
        <f>I94-K94</f>
        <v>28883700</v>
      </c>
      <c r="N94" s="190"/>
      <c r="O94" s="116"/>
    </row>
    <row r="95" spans="1:15" s="30" customFormat="1" ht="83.25" customHeight="1" outlineLevel="1" x14ac:dyDescent="0.25">
      <c r="A95" s="90">
        <v>60</v>
      </c>
      <c r="B95" s="117" t="s">
        <v>117</v>
      </c>
      <c r="C95" s="91" t="s">
        <v>118</v>
      </c>
      <c r="D95" s="91" t="s">
        <v>119</v>
      </c>
      <c r="E95" s="91" t="s">
        <v>377</v>
      </c>
      <c r="F95" s="91" t="s">
        <v>120</v>
      </c>
      <c r="G95" s="91" t="s">
        <v>3</v>
      </c>
      <c r="H95" s="111">
        <v>303444194</v>
      </c>
      <c r="I95" s="65">
        <v>303444194</v>
      </c>
      <c r="J95" s="125">
        <v>0</v>
      </c>
      <c r="K95" s="65"/>
      <c r="L95" s="65"/>
      <c r="M95" s="104">
        <f>I95-K95</f>
        <v>303444194</v>
      </c>
      <c r="N95" s="98" t="s">
        <v>82</v>
      </c>
      <c r="O95" s="60"/>
    </row>
    <row r="96" spans="1:15" s="30" customFormat="1" ht="91.5" customHeight="1" outlineLevel="1" x14ac:dyDescent="0.25">
      <c r="A96" s="73">
        <v>61</v>
      </c>
      <c r="B96" s="74" t="s">
        <v>194</v>
      </c>
      <c r="C96" s="74" t="s">
        <v>195</v>
      </c>
      <c r="D96" s="74" t="s">
        <v>196</v>
      </c>
      <c r="E96" s="112" t="s">
        <v>378</v>
      </c>
      <c r="F96" s="74" t="s">
        <v>197</v>
      </c>
      <c r="G96" s="74" t="s">
        <v>57</v>
      </c>
      <c r="H96" s="65">
        <v>10000000</v>
      </c>
      <c r="I96" s="65">
        <v>10000000</v>
      </c>
      <c r="J96" s="76" t="s">
        <v>198</v>
      </c>
      <c r="K96" s="65">
        <v>2553676.86</v>
      </c>
      <c r="L96" s="65">
        <f>3533579.15874841+18816925/512.41+16022937.4/426.85+37537.63</f>
        <v>3645376.8188604596</v>
      </c>
      <c r="M96" s="87">
        <f t="shared" si="5"/>
        <v>7446323.1400000006</v>
      </c>
      <c r="N96" s="72" t="s">
        <v>199</v>
      </c>
      <c r="O96" s="60"/>
    </row>
    <row r="97" spans="1:16" s="30" customFormat="1" ht="91.5" customHeight="1" outlineLevel="1" thickBot="1" x14ac:dyDescent="0.3">
      <c r="A97" s="73">
        <v>62</v>
      </c>
      <c r="B97" s="74" t="s">
        <v>194</v>
      </c>
      <c r="C97" s="74" t="s">
        <v>139</v>
      </c>
      <c r="D97" s="74" t="s">
        <v>196</v>
      </c>
      <c r="E97" s="112" t="s">
        <v>379</v>
      </c>
      <c r="F97" s="74" t="s">
        <v>200</v>
      </c>
      <c r="G97" s="74" t="s">
        <v>3</v>
      </c>
      <c r="H97" s="65">
        <v>8000000000</v>
      </c>
      <c r="I97" s="65">
        <v>8000000000</v>
      </c>
      <c r="J97" s="76" t="s">
        <v>201</v>
      </c>
      <c r="K97" s="65"/>
      <c r="L97" s="65">
        <f>3496438357+79342466+80657534</f>
        <v>3656438357</v>
      </c>
      <c r="M97" s="87">
        <f>I97-K97</f>
        <v>8000000000</v>
      </c>
      <c r="N97" s="72" t="s">
        <v>202</v>
      </c>
      <c r="O97" s="60"/>
    </row>
    <row r="98" spans="1:16" s="35" customFormat="1" ht="24.75" customHeight="1" x14ac:dyDescent="0.25">
      <c r="A98" s="171" t="s">
        <v>203</v>
      </c>
      <c r="B98" s="172"/>
      <c r="C98" s="172"/>
      <c r="D98" s="184" t="s">
        <v>35</v>
      </c>
      <c r="E98" s="184"/>
      <c r="F98" s="184"/>
      <c r="G98" s="43"/>
      <c r="H98" s="33">
        <f>SUMIF($G$73:$G$97,D98,$H$73:$H$97)</f>
        <v>25699559.68</v>
      </c>
      <c r="I98" s="33">
        <f>SUMIF($G$73:$G$97,D98,$I$73:$I$97)</f>
        <v>5664515.46</v>
      </c>
      <c r="J98" s="33"/>
      <c r="K98" s="33">
        <f>SUMIF($G$73:$G$97,D98,$K$73:$K$97)</f>
        <v>21818.170627355128</v>
      </c>
      <c r="L98" s="33">
        <f>SUMIF($G$73:$G$97,D98,$L$73:$L$97)</f>
        <v>238081.19959568186</v>
      </c>
      <c r="M98" s="33">
        <f>SUMIF($G$73:$G$97,D98,$M$73:$M$97)</f>
        <v>5642697.2893726444</v>
      </c>
      <c r="N98" s="34"/>
      <c r="O98" s="77"/>
    </row>
    <row r="99" spans="1:16" s="35" customFormat="1" ht="39" customHeight="1" x14ac:dyDescent="0.25">
      <c r="A99" s="160"/>
      <c r="B99" s="161"/>
      <c r="C99" s="161"/>
      <c r="D99" s="178" t="s">
        <v>3</v>
      </c>
      <c r="E99" s="178"/>
      <c r="F99" s="178"/>
      <c r="G99" s="36"/>
      <c r="H99" s="37">
        <f>SUMIF($G$73:$G$97,D99,$H$73:$H$97)</f>
        <v>16940988508.200001</v>
      </c>
      <c r="I99" s="37">
        <f>SUMIF($G$73:$G$97,D99,$I$73:$I$97)</f>
        <v>16998144463.5</v>
      </c>
      <c r="J99" s="37"/>
      <c r="K99" s="37">
        <f>SUMIF($G$73:$G$97,D99,$K$73:$K$97)</f>
        <v>3540547260.9000001</v>
      </c>
      <c r="L99" s="37">
        <f>SUMIF($G$73:$G$97,D99,$L$73:$L$97)</f>
        <v>3755554979.1799998</v>
      </c>
      <c r="M99" s="37">
        <f>SUMIF($G$73:$G$97,D99,$M$73:$M$97)</f>
        <v>13457597202.6</v>
      </c>
      <c r="N99" s="38"/>
      <c r="O99" s="77"/>
    </row>
    <row r="100" spans="1:16" s="35" customFormat="1" ht="39" customHeight="1" x14ac:dyDescent="0.25">
      <c r="A100" s="160"/>
      <c r="B100" s="161"/>
      <c r="C100" s="161"/>
      <c r="D100" s="178" t="s">
        <v>57</v>
      </c>
      <c r="E100" s="178"/>
      <c r="F100" s="178"/>
      <c r="G100" s="36"/>
      <c r="H100" s="37">
        <f>SUMIF($G$73:$G$97,D100,$H$73:$H$97)</f>
        <v>32967799.48</v>
      </c>
      <c r="I100" s="37">
        <f>SUMIF($G$73:$G$97,D100,$I$73:$I$97)</f>
        <v>29729856.109999999</v>
      </c>
      <c r="J100" s="37"/>
      <c r="K100" s="37">
        <f>SUMIF($G$73:$G$97,D100,$K$73:$K$97)</f>
        <v>8114663.8963736091</v>
      </c>
      <c r="L100" s="37">
        <f>SUMIF($G$73:$G$97,D100,$L$73:$L$97)</f>
        <v>5710660.0892056944</v>
      </c>
      <c r="M100" s="37">
        <f>SUMIF($G$73:$G$97,D100,$M$73:$M$97)</f>
        <v>22065580.093626395</v>
      </c>
      <c r="N100" s="38"/>
      <c r="O100" s="77"/>
    </row>
    <row r="101" spans="1:16" s="35" customFormat="1" ht="39" customHeight="1" thickBot="1" x14ac:dyDescent="0.3">
      <c r="A101" s="181"/>
      <c r="B101" s="182"/>
      <c r="C101" s="182"/>
      <c r="D101" s="185" t="s">
        <v>77</v>
      </c>
      <c r="E101" s="185"/>
      <c r="F101" s="185"/>
      <c r="G101" s="39"/>
      <c r="H101" s="40">
        <f>SUMIF($G$73:$G$97,D101,$H$73:$H$97)</f>
        <v>0</v>
      </c>
      <c r="I101" s="40">
        <f>SUMIF($G$73:$G$97,D101,$I$73:$I$97)</f>
        <v>0</v>
      </c>
      <c r="J101" s="40"/>
      <c r="K101" s="40">
        <f>SUMIF($G$73:$G$97,D101,$K$73:$K$97)</f>
        <v>0</v>
      </c>
      <c r="L101" s="40">
        <f>SUMIF($G$73:$G$97,D101,$L$73:$L$97)</f>
        <v>0</v>
      </c>
      <c r="M101" s="40">
        <f>SUMIF($G$73:$G$97,D101,$M$73:$M$97)</f>
        <v>0</v>
      </c>
      <c r="N101" s="41"/>
      <c r="O101" s="77"/>
    </row>
    <row r="102" spans="1:16" s="42" customFormat="1" ht="156.75" customHeight="1" outlineLevel="1" x14ac:dyDescent="0.2">
      <c r="A102" s="73">
        <v>63</v>
      </c>
      <c r="B102" s="91" t="s">
        <v>0</v>
      </c>
      <c r="C102" s="91" t="s">
        <v>1</v>
      </c>
      <c r="D102" s="91"/>
      <c r="E102" s="95" t="s">
        <v>380</v>
      </c>
      <c r="F102" s="95" t="s">
        <v>204</v>
      </c>
      <c r="G102" s="74" t="s">
        <v>3</v>
      </c>
      <c r="H102" s="124">
        <f>3047000000+3000000000</f>
        <v>6047000000</v>
      </c>
      <c r="I102" s="89">
        <v>6000000000</v>
      </c>
      <c r="J102" s="125"/>
      <c r="K102" s="89">
        <f>4439902959+260956717.5+995441267.7+73262192.2+103703140+88648827.6+23704487.9</f>
        <v>5985619591.8999996</v>
      </c>
      <c r="L102" s="89"/>
      <c r="M102" s="111">
        <f>I102-K102</f>
        <v>14380408.100000381</v>
      </c>
      <c r="N102" s="126" t="s">
        <v>82</v>
      </c>
      <c r="O102" s="116"/>
    </row>
    <row r="103" spans="1:16" s="42" customFormat="1" ht="135" outlineLevel="1" x14ac:dyDescent="0.2">
      <c r="A103" s="73">
        <v>64</v>
      </c>
      <c r="B103" s="91" t="s">
        <v>4</v>
      </c>
      <c r="C103" s="91" t="s">
        <v>5</v>
      </c>
      <c r="D103" s="91"/>
      <c r="E103" s="95"/>
      <c r="F103" s="95" t="s">
        <v>398</v>
      </c>
      <c r="G103" s="74" t="s">
        <v>3</v>
      </c>
      <c r="H103" s="65">
        <f>2000000000+7300000000</f>
        <v>9300000000</v>
      </c>
      <c r="I103" s="89">
        <f>9024295000</f>
        <v>9024295000</v>
      </c>
      <c r="J103" s="125" t="s">
        <v>205</v>
      </c>
      <c r="K103" s="89">
        <f>140537000+5009140+4849511288.30001+293553946.6+277518975.4+298090130.9+261563425.9+273040297.9+246795505.7+231942835.5+200000+87368316.3+276040115.2</f>
        <v>7241170977.7000084</v>
      </c>
      <c r="L103" s="89">
        <f>34040214.6+16030636.8+1797857.1+7375602.5+3983531.1</f>
        <v>63227842.100000009</v>
      </c>
      <c r="M103" s="111">
        <f>I103-K103</f>
        <v>1783124022.2999916</v>
      </c>
      <c r="N103" s="126" t="s">
        <v>82</v>
      </c>
      <c r="O103" s="116"/>
    </row>
    <row r="104" spans="1:16" s="42" customFormat="1" ht="175.5" outlineLevel="1" x14ac:dyDescent="0.2">
      <c r="A104" s="73">
        <v>65</v>
      </c>
      <c r="B104" s="91" t="s">
        <v>4</v>
      </c>
      <c r="C104" s="91" t="s">
        <v>7</v>
      </c>
      <c r="D104" s="91"/>
      <c r="E104" s="95" t="s">
        <v>381</v>
      </c>
      <c r="F104" s="95" t="s">
        <v>8</v>
      </c>
      <c r="G104" s="74" t="s">
        <v>3</v>
      </c>
      <c r="H104" s="65">
        <v>562500000</v>
      </c>
      <c r="I104" s="89">
        <v>562500000</v>
      </c>
      <c r="J104" s="125"/>
      <c r="K104" s="89"/>
      <c r="L104" s="89"/>
      <c r="M104" s="104">
        <f t="shared" ref="M104:M124" si="6">I104-K104</f>
        <v>562500000</v>
      </c>
      <c r="N104" s="126" t="s">
        <v>82</v>
      </c>
      <c r="O104" s="116"/>
    </row>
    <row r="105" spans="1:16" s="42" customFormat="1" ht="147" customHeight="1" outlineLevel="1" x14ac:dyDescent="0.2">
      <c r="A105" s="73">
        <v>66</v>
      </c>
      <c r="B105" s="186" t="s">
        <v>0</v>
      </c>
      <c r="C105" s="186" t="s">
        <v>9</v>
      </c>
      <c r="D105" s="91"/>
      <c r="E105" s="95" t="s">
        <v>10</v>
      </c>
      <c r="F105" s="95" t="s">
        <v>11</v>
      </c>
      <c r="G105" s="74" t="s">
        <v>3</v>
      </c>
      <c r="H105" s="65">
        <v>2000000000</v>
      </c>
      <c r="I105" s="89">
        <v>2000000000</v>
      </c>
      <c r="J105" s="82">
        <v>2.7E-2</v>
      </c>
      <c r="K105" s="89"/>
      <c r="L105" s="89">
        <f>68417269.8+13462993.2+49643.9+1421840.5</f>
        <v>83351747.400000006</v>
      </c>
      <c r="M105" s="87">
        <f t="shared" si="6"/>
        <v>2000000000</v>
      </c>
      <c r="N105" s="126" t="s">
        <v>82</v>
      </c>
      <c r="O105" s="116"/>
    </row>
    <row r="106" spans="1:16" s="42" customFormat="1" ht="144.75" customHeight="1" outlineLevel="1" x14ac:dyDescent="0.2">
      <c r="A106" s="73">
        <v>67</v>
      </c>
      <c r="B106" s="187"/>
      <c r="C106" s="187"/>
      <c r="D106" s="127"/>
      <c r="E106" s="95" t="s">
        <v>12</v>
      </c>
      <c r="F106" s="95" t="s">
        <v>13</v>
      </c>
      <c r="G106" s="99" t="s">
        <v>3</v>
      </c>
      <c r="H106" s="65">
        <v>2000000000</v>
      </c>
      <c r="I106" s="89">
        <v>2000000000</v>
      </c>
      <c r="J106" s="128">
        <v>5.7000000000000002E-2</v>
      </c>
      <c r="K106" s="89"/>
      <c r="L106" s="89">
        <f>153819379.6+28421448.8+780809.1</f>
        <v>183021637.5</v>
      </c>
      <c r="M106" s="87">
        <f t="shared" si="6"/>
        <v>2000000000</v>
      </c>
      <c r="N106" s="126" t="s">
        <v>82</v>
      </c>
      <c r="O106" s="116"/>
    </row>
    <row r="107" spans="1:16" s="42" customFormat="1" ht="90.75" customHeight="1" outlineLevel="1" thickBot="1" x14ac:dyDescent="0.25">
      <c r="A107" s="129">
        <v>68</v>
      </c>
      <c r="B107" s="188"/>
      <c r="C107" s="188"/>
      <c r="D107" s="130"/>
      <c r="E107" s="95" t="s">
        <v>399</v>
      </c>
      <c r="F107" s="131" t="s">
        <v>206</v>
      </c>
      <c r="G107" s="132" t="s">
        <v>3</v>
      </c>
      <c r="H107" s="133">
        <v>5000000000</v>
      </c>
      <c r="I107" s="134">
        <v>5000000000</v>
      </c>
      <c r="J107" s="135">
        <v>2.7E-2</v>
      </c>
      <c r="K107" s="134"/>
      <c r="L107" s="134">
        <f>34209157.5+76580313.4</f>
        <v>110789470.90000001</v>
      </c>
      <c r="M107" s="136">
        <f t="shared" si="6"/>
        <v>5000000000</v>
      </c>
      <c r="N107" s="126" t="s">
        <v>82</v>
      </c>
      <c r="O107" s="116"/>
    </row>
    <row r="108" spans="1:16" s="35" customFormat="1" ht="30" customHeight="1" x14ac:dyDescent="0.25">
      <c r="A108" s="158" t="s">
        <v>207</v>
      </c>
      <c r="B108" s="159"/>
      <c r="C108" s="159"/>
      <c r="D108" s="164" t="s">
        <v>35</v>
      </c>
      <c r="E108" s="183"/>
      <c r="F108" s="176"/>
      <c r="G108" s="44"/>
      <c r="H108" s="45">
        <f>SUMIF($G$102:$G$107,D108,$H$102:$H$107)</f>
        <v>0</v>
      </c>
      <c r="I108" s="45">
        <f>SUMIF($G$102:$G$107,D108,$I$102:$I$107)</f>
        <v>0</v>
      </c>
      <c r="J108" s="45"/>
      <c r="K108" s="45">
        <f>SUMIF($G$102:$G$107,D108,$K$102:$K$107)</f>
        <v>0</v>
      </c>
      <c r="L108" s="45">
        <f>SUMIF($G$102:$G$107,D108,$L$102:$L$107)</f>
        <v>0</v>
      </c>
      <c r="M108" s="45">
        <f>SUMIF($G$102:$G$107,D108,$M$102:$M$107)</f>
        <v>0</v>
      </c>
      <c r="N108" s="34"/>
      <c r="O108" s="116"/>
      <c r="P108" s="42"/>
    </row>
    <row r="109" spans="1:16" s="35" customFormat="1" ht="27" customHeight="1" x14ac:dyDescent="0.25">
      <c r="A109" s="160"/>
      <c r="B109" s="161"/>
      <c r="C109" s="161"/>
      <c r="D109" s="167" t="s">
        <v>3</v>
      </c>
      <c r="E109" s="156"/>
      <c r="F109" s="157"/>
      <c r="G109" s="36"/>
      <c r="H109" s="45">
        <f>SUMIF($G$102:$G$107,D109,$H$102:$H$107)</f>
        <v>24909500000</v>
      </c>
      <c r="I109" s="37">
        <f>SUMIF($G$102:$G$107,D109,$I$102:$I$107)</f>
        <v>24586795000</v>
      </c>
      <c r="J109" s="37"/>
      <c r="K109" s="37">
        <f>SUMIF($G$102:$G$107,D109,$K$102:$K$107)</f>
        <v>13226790569.600008</v>
      </c>
      <c r="L109" s="37">
        <f>SUMIF($G$102:$G$107,D109,$L$102:$L$107)</f>
        <v>440390697.89999998</v>
      </c>
      <c r="M109" s="37">
        <f>SUMIF($G$102:$G$107,D109,$M$102:$M$107)</f>
        <v>11360004430.399992</v>
      </c>
      <c r="N109" s="38"/>
      <c r="O109" s="116"/>
      <c r="P109" s="42"/>
    </row>
    <row r="110" spans="1:16" s="35" customFormat="1" ht="28.5" customHeight="1" x14ac:dyDescent="0.25">
      <c r="A110" s="160"/>
      <c r="B110" s="161"/>
      <c r="C110" s="161"/>
      <c r="D110" s="167" t="s">
        <v>57</v>
      </c>
      <c r="E110" s="156"/>
      <c r="F110" s="157"/>
      <c r="G110" s="36"/>
      <c r="H110" s="45">
        <f>SUMIF($G$102:$G$107,D110,$H$102:$H$107)</f>
        <v>0</v>
      </c>
      <c r="I110" s="37">
        <f>SUMIF($G$102:$G$107,D110,$I$102:$I$107)</f>
        <v>0</v>
      </c>
      <c r="J110" s="37"/>
      <c r="K110" s="37">
        <f>SUMIF($G$102:$G$107,D110,$K$102:$K$107)</f>
        <v>0</v>
      </c>
      <c r="L110" s="37">
        <f>SUMIF($G$102:$G$107,D110,$L$102:$L$107)</f>
        <v>0</v>
      </c>
      <c r="M110" s="37">
        <f>SUMIF($G$102:$G$107,D110,$M$102:$M$107)</f>
        <v>0</v>
      </c>
      <c r="N110" s="38"/>
      <c r="O110" s="77"/>
    </row>
    <row r="111" spans="1:16" s="35" customFormat="1" ht="30" customHeight="1" thickBot="1" x14ac:dyDescent="0.3">
      <c r="A111" s="181"/>
      <c r="B111" s="182"/>
      <c r="C111" s="182"/>
      <c r="D111" s="168" t="s">
        <v>77</v>
      </c>
      <c r="E111" s="169"/>
      <c r="F111" s="170"/>
      <c r="G111" s="39"/>
      <c r="H111" s="40">
        <f>SUMIF($G$102:$G$107,D111,$H$102:$H$107)</f>
        <v>0</v>
      </c>
      <c r="I111" s="40">
        <f>SUMIF($G$102:$G$107,D111,$I$102:$I$107)</f>
        <v>0</v>
      </c>
      <c r="J111" s="40"/>
      <c r="K111" s="40">
        <f>SUMIF($G$102:$G$107,D111,$K$102:$K$107)</f>
        <v>0</v>
      </c>
      <c r="L111" s="40">
        <f>SUMIF($G$102:$G$107,D111,$L$102:$L$107)</f>
        <v>0</v>
      </c>
      <c r="M111" s="40">
        <f>SUMIF($G$102:$G$107,D111,$M$102:$M$107)</f>
        <v>0</v>
      </c>
      <c r="N111" s="41"/>
      <c r="O111" s="77"/>
    </row>
    <row r="112" spans="1:16" s="42" customFormat="1" ht="121.5" outlineLevel="1" x14ac:dyDescent="0.2">
      <c r="A112" s="106">
        <v>69</v>
      </c>
      <c r="B112" s="137" t="s">
        <v>208</v>
      </c>
      <c r="C112" s="137" t="s">
        <v>209</v>
      </c>
      <c r="D112" s="91"/>
      <c r="E112" s="95" t="s">
        <v>382</v>
      </c>
      <c r="F112" s="95" t="s">
        <v>210</v>
      </c>
      <c r="G112" s="74" t="s">
        <v>3</v>
      </c>
      <c r="H112" s="138">
        <v>574491741</v>
      </c>
      <c r="I112" s="138">
        <v>574491741</v>
      </c>
      <c r="J112" s="139">
        <v>1E-4</v>
      </c>
      <c r="K112" s="138"/>
      <c r="L112" s="138">
        <f>85623+14165</f>
        <v>99788</v>
      </c>
      <c r="M112" s="97">
        <f t="shared" si="6"/>
        <v>574491741</v>
      </c>
      <c r="N112" s="140" t="s">
        <v>211</v>
      </c>
      <c r="O112" s="116"/>
    </row>
    <row r="113" spans="1:15" s="42" customFormat="1" ht="121.5" outlineLevel="1" x14ac:dyDescent="0.2">
      <c r="A113" s="73">
        <v>70</v>
      </c>
      <c r="B113" s="117" t="s">
        <v>212</v>
      </c>
      <c r="C113" s="117" t="s">
        <v>209</v>
      </c>
      <c r="D113" s="91"/>
      <c r="E113" s="95" t="s">
        <v>383</v>
      </c>
      <c r="F113" s="95" t="s">
        <v>213</v>
      </c>
      <c r="G113" s="74" t="s">
        <v>3</v>
      </c>
      <c r="H113" s="124">
        <v>98612371</v>
      </c>
      <c r="I113" s="114">
        <v>98612371</v>
      </c>
      <c r="J113" s="92">
        <v>1E-4</v>
      </c>
      <c r="K113" s="114"/>
      <c r="L113" s="114">
        <v>17060</v>
      </c>
      <c r="M113" s="104">
        <f t="shared" si="6"/>
        <v>98612371</v>
      </c>
      <c r="N113" s="126" t="s">
        <v>214</v>
      </c>
      <c r="O113" s="116"/>
    </row>
    <row r="114" spans="1:15" s="42" customFormat="1" ht="121.5" outlineLevel="1" x14ac:dyDescent="0.2">
      <c r="A114" s="73">
        <v>71</v>
      </c>
      <c r="B114" s="117" t="s">
        <v>215</v>
      </c>
      <c r="C114" s="117" t="s">
        <v>209</v>
      </c>
      <c r="D114" s="91"/>
      <c r="E114" s="95" t="s">
        <v>384</v>
      </c>
      <c r="F114" s="95" t="s">
        <v>216</v>
      </c>
      <c r="G114" s="74" t="s">
        <v>3</v>
      </c>
      <c r="H114" s="124">
        <v>60132468</v>
      </c>
      <c r="I114" s="114">
        <v>60132468</v>
      </c>
      <c r="J114" s="92">
        <v>1E-4</v>
      </c>
      <c r="K114" s="114">
        <f>4625574.5+4625574.5</f>
        <v>9251149</v>
      </c>
      <c r="L114" s="114">
        <f>10367+1511.2+1400</f>
        <v>13278.2</v>
      </c>
      <c r="M114" s="104">
        <f t="shared" si="6"/>
        <v>50881319</v>
      </c>
      <c r="N114" s="126" t="s">
        <v>217</v>
      </c>
      <c r="O114" s="141"/>
    </row>
    <row r="115" spans="1:15" s="42" customFormat="1" ht="121.5" outlineLevel="1" x14ac:dyDescent="0.2">
      <c r="A115" s="73">
        <v>72</v>
      </c>
      <c r="B115" s="117" t="s">
        <v>218</v>
      </c>
      <c r="C115" s="117" t="s">
        <v>209</v>
      </c>
      <c r="D115" s="91"/>
      <c r="E115" s="95" t="s">
        <v>385</v>
      </c>
      <c r="F115" s="95" t="s">
        <v>219</v>
      </c>
      <c r="G115" s="74" t="s">
        <v>3</v>
      </c>
      <c r="H115" s="65">
        <f>9500000+12453199</f>
        <v>21953199</v>
      </c>
      <c r="I115" s="114">
        <f>9500000+12453199</f>
        <v>21953199</v>
      </c>
      <c r="J115" s="92">
        <v>1E-4</v>
      </c>
      <c r="K115" s="114"/>
      <c r="L115" s="114">
        <v>3720</v>
      </c>
      <c r="M115" s="104">
        <f t="shared" si="6"/>
        <v>21953199</v>
      </c>
      <c r="N115" s="126" t="s">
        <v>220</v>
      </c>
      <c r="O115" s="141"/>
    </row>
    <row r="116" spans="1:15" s="42" customFormat="1" ht="129.75" customHeight="1" outlineLevel="1" x14ac:dyDescent="0.2">
      <c r="A116" s="73">
        <v>73</v>
      </c>
      <c r="B116" s="117" t="s">
        <v>221</v>
      </c>
      <c r="C116" s="117" t="s">
        <v>209</v>
      </c>
      <c r="D116" s="91"/>
      <c r="E116" s="95" t="s">
        <v>385</v>
      </c>
      <c r="F116" s="95" t="s">
        <v>222</v>
      </c>
      <c r="G116" s="74" t="s">
        <v>3</v>
      </c>
      <c r="H116" s="124">
        <v>15801400</v>
      </c>
      <c r="I116" s="114">
        <v>15801400</v>
      </c>
      <c r="J116" s="92">
        <v>1E-4</v>
      </c>
      <c r="K116" s="114"/>
      <c r="L116" s="114">
        <v>3500</v>
      </c>
      <c r="M116" s="104">
        <f t="shared" si="6"/>
        <v>15801400</v>
      </c>
      <c r="N116" s="126" t="s">
        <v>223</v>
      </c>
      <c r="O116" s="141"/>
    </row>
    <row r="117" spans="1:15" s="42" customFormat="1" ht="129.75" customHeight="1" outlineLevel="1" x14ac:dyDescent="0.2">
      <c r="A117" s="73">
        <v>74</v>
      </c>
      <c r="B117" s="117" t="s">
        <v>224</v>
      </c>
      <c r="C117" s="117" t="s">
        <v>209</v>
      </c>
      <c r="D117" s="91"/>
      <c r="E117" s="95" t="s">
        <v>385</v>
      </c>
      <c r="F117" s="95" t="s">
        <v>222</v>
      </c>
      <c r="G117" s="74" t="s">
        <v>3</v>
      </c>
      <c r="H117" s="124">
        <v>2554000</v>
      </c>
      <c r="I117" s="114">
        <v>2554000</v>
      </c>
      <c r="J117" s="92">
        <v>1E-4</v>
      </c>
      <c r="K117" s="114"/>
      <c r="L117" s="114">
        <f>500</f>
        <v>500</v>
      </c>
      <c r="M117" s="104">
        <f t="shared" si="6"/>
        <v>2554000</v>
      </c>
      <c r="N117" s="126" t="s">
        <v>225</v>
      </c>
      <c r="O117" s="141"/>
    </row>
    <row r="118" spans="1:15" s="42" customFormat="1" ht="129.75" customHeight="1" outlineLevel="1" x14ac:dyDescent="0.2">
      <c r="A118" s="73">
        <v>75</v>
      </c>
      <c r="B118" s="117" t="s">
        <v>226</v>
      </c>
      <c r="C118" s="117" t="s">
        <v>209</v>
      </c>
      <c r="D118" s="91"/>
      <c r="E118" s="95" t="s">
        <v>385</v>
      </c>
      <c r="F118" s="95" t="s">
        <v>227</v>
      </c>
      <c r="G118" s="74" t="s">
        <v>3</v>
      </c>
      <c r="H118" s="124">
        <v>29053320</v>
      </c>
      <c r="I118" s="114">
        <v>29053320</v>
      </c>
      <c r="J118" s="92">
        <v>1E-4</v>
      </c>
      <c r="K118" s="114"/>
      <c r="L118" s="114">
        <f>2000+3000</f>
        <v>5000</v>
      </c>
      <c r="M118" s="104">
        <f t="shared" si="6"/>
        <v>29053320</v>
      </c>
      <c r="N118" s="126" t="s">
        <v>228</v>
      </c>
      <c r="O118" s="141"/>
    </row>
    <row r="119" spans="1:15" s="42" customFormat="1" ht="129.75" customHeight="1" outlineLevel="1" x14ac:dyDescent="0.2">
      <c r="A119" s="73">
        <v>76</v>
      </c>
      <c r="B119" s="117" t="s">
        <v>229</v>
      </c>
      <c r="C119" s="117" t="s">
        <v>209</v>
      </c>
      <c r="D119" s="91"/>
      <c r="E119" s="95" t="s">
        <v>385</v>
      </c>
      <c r="F119" s="95" t="s">
        <v>230</v>
      </c>
      <c r="G119" s="74" t="s">
        <v>3</v>
      </c>
      <c r="H119" s="124">
        <v>192064443</v>
      </c>
      <c r="I119" s="114">
        <f>95000000+97064443</f>
        <v>192064443</v>
      </c>
      <c r="J119" s="92">
        <v>1E-4</v>
      </c>
      <c r="K119" s="114"/>
      <c r="L119" s="114">
        <f>16100+12200</f>
        <v>28300</v>
      </c>
      <c r="M119" s="104">
        <f t="shared" si="6"/>
        <v>192064443</v>
      </c>
      <c r="N119" s="126" t="s">
        <v>231</v>
      </c>
      <c r="O119" s="141"/>
    </row>
    <row r="120" spans="1:15" s="42" customFormat="1" ht="129.75" customHeight="1" outlineLevel="1" x14ac:dyDescent="0.2">
      <c r="A120" s="73">
        <v>77</v>
      </c>
      <c r="B120" s="117" t="s">
        <v>233</v>
      </c>
      <c r="C120" s="117" t="s">
        <v>209</v>
      </c>
      <c r="D120" s="91"/>
      <c r="E120" s="95" t="s">
        <v>385</v>
      </c>
      <c r="F120" s="95" t="s">
        <v>232</v>
      </c>
      <c r="G120" s="74" t="s">
        <v>3</v>
      </c>
      <c r="H120" s="124">
        <v>3469534</v>
      </c>
      <c r="I120" s="114">
        <v>3469534</v>
      </c>
      <c r="J120" s="92">
        <v>1E-4</v>
      </c>
      <c r="K120" s="114">
        <v>266887</v>
      </c>
      <c r="L120" s="114">
        <f>600+86</f>
        <v>686</v>
      </c>
      <c r="M120" s="104">
        <f t="shared" si="6"/>
        <v>3202647</v>
      </c>
      <c r="N120" s="126" t="s">
        <v>234</v>
      </c>
      <c r="O120" s="141"/>
    </row>
    <row r="121" spans="1:15" s="42" customFormat="1" ht="129.75" customHeight="1" outlineLevel="1" x14ac:dyDescent="0.2">
      <c r="A121" s="73">
        <v>78</v>
      </c>
      <c r="B121" s="117" t="s">
        <v>235</v>
      </c>
      <c r="C121" s="117" t="s">
        <v>209</v>
      </c>
      <c r="D121" s="91"/>
      <c r="E121" s="95" t="s">
        <v>385</v>
      </c>
      <c r="F121" s="95" t="s">
        <v>236</v>
      </c>
      <c r="G121" s="74" t="s">
        <v>3</v>
      </c>
      <c r="H121" s="124">
        <v>11781702</v>
      </c>
      <c r="I121" s="114">
        <v>11781702</v>
      </c>
      <c r="J121" s="92">
        <v>1E-4</v>
      </c>
      <c r="K121" s="114">
        <f>906285+906285</f>
        <v>1812570</v>
      </c>
      <c r="L121" s="114">
        <f>3000+1500</f>
        <v>4500</v>
      </c>
      <c r="M121" s="104">
        <f t="shared" si="6"/>
        <v>9969132</v>
      </c>
      <c r="N121" s="126" t="s">
        <v>237</v>
      </c>
      <c r="O121" s="141"/>
    </row>
    <row r="122" spans="1:15" s="42" customFormat="1" ht="129.75" customHeight="1" outlineLevel="1" x14ac:dyDescent="0.2">
      <c r="A122" s="73">
        <v>79</v>
      </c>
      <c r="B122" s="117" t="s">
        <v>238</v>
      </c>
      <c r="C122" s="117" t="s">
        <v>209</v>
      </c>
      <c r="D122" s="91"/>
      <c r="E122" s="95" t="s">
        <v>385</v>
      </c>
      <c r="F122" s="95" t="s">
        <v>239</v>
      </c>
      <c r="G122" s="74" t="s">
        <v>3</v>
      </c>
      <c r="H122" s="124">
        <f>112000000+16200000</f>
        <v>128200000</v>
      </c>
      <c r="I122" s="114">
        <f>112000000+16200000</f>
        <v>128200000</v>
      </c>
      <c r="J122" s="92">
        <v>1E-4</v>
      </c>
      <c r="K122" s="114"/>
      <c r="L122" s="114">
        <f>25640+12820</f>
        <v>38460</v>
      </c>
      <c r="M122" s="104">
        <f t="shared" si="6"/>
        <v>128200000</v>
      </c>
      <c r="N122" s="126" t="s">
        <v>240</v>
      </c>
      <c r="O122" s="141"/>
    </row>
    <row r="123" spans="1:15" s="42" customFormat="1" ht="129.75" customHeight="1" outlineLevel="1" x14ac:dyDescent="0.2">
      <c r="A123" s="73">
        <v>80</v>
      </c>
      <c r="B123" s="117" t="s">
        <v>241</v>
      </c>
      <c r="C123" s="117" t="s">
        <v>209</v>
      </c>
      <c r="D123" s="91"/>
      <c r="E123" s="95" t="s">
        <v>385</v>
      </c>
      <c r="F123" s="95" t="s">
        <v>242</v>
      </c>
      <c r="G123" s="74" t="s">
        <v>3</v>
      </c>
      <c r="H123" s="124">
        <v>26127500</v>
      </c>
      <c r="I123" s="114">
        <v>26127500</v>
      </c>
      <c r="J123" s="92">
        <v>1E-4</v>
      </c>
      <c r="K123" s="114"/>
      <c r="L123" s="114">
        <f>4530</f>
        <v>4530</v>
      </c>
      <c r="M123" s="104">
        <f t="shared" si="6"/>
        <v>26127500</v>
      </c>
      <c r="N123" s="126" t="s">
        <v>243</v>
      </c>
      <c r="O123" s="141"/>
    </row>
    <row r="124" spans="1:15" s="42" customFormat="1" ht="129.75" customHeight="1" outlineLevel="1" x14ac:dyDescent="0.2">
      <c r="A124" s="73">
        <v>81</v>
      </c>
      <c r="B124" s="117" t="s">
        <v>244</v>
      </c>
      <c r="C124" s="117" t="s">
        <v>209</v>
      </c>
      <c r="D124" s="91"/>
      <c r="E124" s="95" t="s">
        <v>385</v>
      </c>
      <c r="F124" s="95" t="s">
        <v>245</v>
      </c>
      <c r="G124" s="74" t="s">
        <v>3</v>
      </c>
      <c r="H124" s="124">
        <v>19297200</v>
      </c>
      <c r="I124" s="114">
        <f>10800000+3440000+1440000+3617200</f>
        <v>19297200</v>
      </c>
      <c r="J124" s="92">
        <v>1E-4</v>
      </c>
      <c r="K124" s="114"/>
      <c r="L124" s="114">
        <f>3000</f>
        <v>3000</v>
      </c>
      <c r="M124" s="104">
        <f t="shared" si="6"/>
        <v>19297200</v>
      </c>
      <c r="N124" s="126" t="s">
        <v>246</v>
      </c>
      <c r="O124" s="141"/>
    </row>
    <row r="125" spans="1:15" s="42" customFormat="1" ht="129.75" customHeight="1" outlineLevel="1" x14ac:dyDescent="0.2">
      <c r="A125" s="73">
        <v>82</v>
      </c>
      <c r="B125" s="117" t="s">
        <v>247</v>
      </c>
      <c r="C125" s="117" t="s">
        <v>209</v>
      </c>
      <c r="D125" s="91"/>
      <c r="E125" s="95" t="s">
        <v>385</v>
      </c>
      <c r="F125" s="95" t="s">
        <v>232</v>
      </c>
      <c r="G125" s="74" t="s">
        <v>3</v>
      </c>
      <c r="H125" s="124">
        <v>2164000</v>
      </c>
      <c r="I125" s="114">
        <v>2164000</v>
      </c>
      <c r="J125" s="92">
        <v>1E-4</v>
      </c>
      <c r="K125" s="114">
        <f>166462</f>
        <v>166462</v>
      </c>
      <c r="L125" s="114">
        <f>370+54.8+100</f>
        <v>524.79999999999995</v>
      </c>
      <c r="M125" s="104">
        <f>I125-L125</f>
        <v>2163475.2000000002</v>
      </c>
      <c r="N125" s="126" t="s">
        <v>248</v>
      </c>
      <c r="O125" s="141"/>
    </row>
    <row r="126" spans="1:15" s="42" customFormat="1" ht="129.75" customHeight="1" outlineLevel="1" x14ac:dyDescent="0.2">
      <c r="A126" s="73">
        <v>83</v>
      </c>
      <c r="B126" s="117" t="s">
        <v>249</v>
      </c>
      <c r="C126" s="117" t="s">
        <v>209</v>
      </c>
      <c r="D126" s="117"/>
      <c r="E126" s="95" t="s">
        <v>385</v>
      </c>
      <c r="F126" s="95" t="s">
        <v>250</v>
      </c>
      <c r="G126" s="74" t="s">
        <v>3</v>
      </c>
      <c r="H126" s="124">
        <v>253504102</v>
      </c>
      <c r="I126" s="114">
        <v>253504102</v>
      </c>
      <c r="J126" s="92">
        <v>1E-4</v>
      </c>
      <c r="K126" s="114"/>
      <c r="L126" s="114">
        <f>5973+6390+6181+6389+6181.4+6390+6390+6390+6389</f>
        <v>56673.4</v>
      </c>
      <c r="M126" s="104">
        <f t="shared" ref="M126:M132" si="7">I126-K126</f>
        <v>253504102</v>
      </c>
      <c r="N126" s="126" t="s">
        <v>251</v>
      </c>
      <c r="O126" s="141"/>
    </row>
    <row r="127" spans="1:15" s="42" customFormat="1" ht="129.75" customHeight="1" outlineLevel="1" x14ac:dyDescent="0.2">
      <c r="A127" s="73">
        <v>84</v>
      </c>
      <c r="B127" s="117" t="s">
        <v>252</v>
      </c>
      <c r="C127" s="117" t="s">
        <v>209</v>
      </c>
      <c r="D127" s="91"/>
      <c r="E127" s="95" t="s">
        <v>385</v>
      </c>
      <c r="F127" s="95" t="s">
        <v>250</v>
      </c>
      <c r="G127" s="74" t="s">
        <v>3</v>
      </c>
      <c r="H127" s="124">
        <v>76200000</v>
      </c>
      <c r="I127" s="114">
        <v>76200000</v>
      </c>
      <c r="J127" s="92">
        <v>1E-4</v>
      </c>
      <c r="K127" s="114"/>
      <c r="L127" s="114">
        <v>7620</v>
      </c>
      <c r="M127" s="104">
        <f t="shared" si="7"/>
        <v>76200000</v>
      </c>
      <c r="N127" s="126" t="s">
        <v>253</v>
      </c>
      <c r="O127" s="141"/>
    </row>
    <row r="128" spans="1:15" s="42" customFormat="1" ht="121.5" outlineLevel="1" x14ac:dyDescent="0.2">
      <c r="A128" s="73">
        <v>85</v>
      </c>
      <c r="B128" s="117" t="s">
        <v>254</v>
      </c>
      <c r="C128" s="117" t="s">
        <v>209</v>
      </c>
      <c r="D128" s="91"/>
      <c r="E128" s="95" t="s">
        <v>385</v>
      </c>
      <c r="F128" s="95" t="s">
        <v>255</v>
      </c>
      <c r="G128" s="74" t="s">
        <v>3</v>
      </c>
      <c r="H128" s="124">
        <v>50613970</v>
      </c>
      <c r="I128" s="114">
        <v>50613970</v>
      </c>
      <c r="J128" s="92">
        <v>1E-4</v>
      </c>
      <c r="K128" s="114"/>
      <c r="L128" s="114">
        <f>8800+8800</f>
        <v>17600</v>
      </c>
      <c r="M128" s="104">
        <f t="shared" si="7"/>
        <v>50613970</v>
      </c>
      <c r="N128" s="126" t="s">
        <v>256</v>
      </c>
      <c r="O128" s="141"/>
    </row>
    <row r="129" spans="1:15" s="42" customFormat="1" ht="121.5" outlineLevel="1" x14ac:dyDescent="0.2">
      <c r="A129" s="73">
        <v>86</v>
      </c>
      <c r="B129" s="117" t="s">
        <v>257</v>
      </c>
      <c r="C129" s="117" t="s">
        <v>209</v>
      </c>
      <c r="D129" s="91"/>
      <c r="E129" s="95" t="s">
        <v>385</v>
      </c>
      <c r="F129" s="95" t="s">
        <v>258</v>
      </c>
      <c r="G129" s="74" t="s">
        <v>3</v>
      </c>
      <c r="H129" s="124">
        <v>184740000</v>
      </c>
      <c r="I129" s="114">
        <v>184740000</v>
      </c>
      <c r="J129" s="92">
        <v>1E-4</v>
      </c>
      <c r="K129" s="114"/>
      <c r="L129" s="114">
        <f>31700</f>
        <v>31700</v>
      </c>
      <c r="M129" s="104">
        <f t="shared" si="7"/>
        <v>184740000</v>
      </c>
      <c r="N129" s="126" t="s">
        <v>259</v>
      </c>
      <c r="O129" s="141"/>
    </row>
    <row r="130" spans="1:15" s="42" customFormat="1" ht="121.5" outlineLevel="1" x14ac:dyDescent="0.2">
      <c r="A130" s="73">
        <v>87</v>
      </c>
      <c r="B130" s="117" t="s">
        <v>260</v>
      </c>
      <c r="C130" s="117" t="s">
        <v>209</v>
      </c>
      <c r="D130" s="91"/>
      <c r="E130" s="95" t="s">
        <v>385</v>
      </c>
      <c r="F130" s="95" t="s">
        <v>261</v>
      </c>
      <c r="G130" s="74" t="s">
        <v>3</v>
      </c>
      <c r="H130" s="124">
        <v>219559596</v>
      </c>
      <c r="I130" s="114">
        <v>219559596</v>
      </c>
      <c r="J130" s="92">
        <v>1E-4</v>
      </c>
      <c r="K130" s="114">
        <f>16889200</f>
        <v>16889200</v>
      </c>
      <c r="L130" s="114">
        <f>5294+5294+27550+5533</f>
        <v>43671</v>
      </c>
      <c r="M130" s="104">
        <f t="shared" si="7"/>
        <v>202670396</v>
      </c>
      <c r="N130" s="126" t="s">
        <v>262</v>
      </c>
      <c r="O130" s="141"/>
    </row>
    <row r="131" spans="1:15" s="42" customFormat="1" ht="121.5" outlineLevel="1" x14ac:dyDescent="0.2">
      <c r="A131" s="73">
        <v>88</v>
      </c>
      <c r="B131" s="117" t="s">
        <v>263</v>
      </c>
      <c r="C131" s="117" t="s">
        <v>209</v>
      </c>
      <c r="D131" s="91"/>
      <c r="E131" s="95" t="s">
        <v>385</v>
      </c>
      <c r="F131" s="95" t="s">
        <v>258</v>
      </c>
      <c r="G131" s="74" t="s">
        <v>3</v>
      </c>
      <c r="H131" s="124">
        <v>29081500</v>
      </c>
      <c r="I131" s="114">
        <v>29081500</v>
      </c>
      <c r="J131" s="92">
        <v>1E-4</v>
      </c>
      <c r="K131" s="114"/>
      <c r="L131" s="114">
        <f>1000+4000+3000</f>
        <v>8000</v>
      </c>
      <c r="M131" s="104">
        <f t="shared" si="7"/>
        <v>29081500</v>
      </c>
      <c r="N131" s="126" t="s">
        <v>264</v>
      </c>
      <c r="O131" s="141"/>
    </row>
    <row r="132" spans="1:15" s="42" customFormat="1" ht="123" customHeight="1" outlineLevel="1" thickBot="1" x14ac:dyDescent="0.25">
      <c r="A132" s="129">
        <v>89</v>
      </c>
      <c r="B132" s="150" t="s">
        <v>265</v>
      </c>
      <c r="C132" s="150" t="s">
        <v>209</v>
      </c>
      <c r="D132" s="151"/>
      <c r="E132" s="95" t="s">
        <v>385</v>
      </c>
      <c r="F132" s="95" t="s">
        <v>266</v>
      </c>
      <c r="G132" s="74" t="s">
        <v>3</v>
      </c>
      <c r="H132" s="124">
        <v>12060940</v>
      </c>
      <c r="I132" s="138">
        <v>12060940</v>
      </c>
      <c r="J132" s="92">
        <v>1E-4</v>
      </c>
      <c r="K132" s="114"/>
      <c r="L132" s="114">
        <v>2170</v>
      </c>
      <c r="M132" s="104">
        <f t="shared" si="7"/>
        <v>12060940</v>
      </c>
      <c r="N132" s="126" t="s">
        <v>267</v>
      </c>
      <c r="O132" s="141"/>
    </row>
    <row r="133" spans="1:15" s="35" customFormat="1" ht="30" customHeight="1" x14ac:dyDescent="0.25">
      <c r="A133" s="158" t="s">
        <v>390</v>
      </c>
      <c r="B133" s="159"/>
      <c r="C133" s="159"/>
      <c r="D133" s="164" t="s">
        <v>35</v>
      </c>
      <c r="E133" s="165"/>
      <c r="F133" s="166"/>
      <c r="G133" s="46"/>
      <c r="H133" s="32">
        <f>SUMIF($G$112:$G$132,D133,$H$112:$H$132)</f>
        <v>0</v>
      </c>
      <c r="I133" s="33">
        <f>SUMIF($G$102:$G$132,D133,$I$102:$I$132)</f>
        <v>0</v>
      </c>
      <c r="J133" s="33"/>
      <c r="K133" s="33">
        <f>SUMIF($G$102:$G$132,D133,$K$102:$K$132)</f>
        <v>0</v>
      </c>
      <c r="L133" s="33">
        <f>SUMIF($G$102:$G$132,D133,$L$102:$L$132)</f>
        <v>0</v>
      </c>
      <c r="M133" s="33">
        <f>SUMIF($G$102:$G$132,D133,$M$102:$M$132)</f>
        <v>0</v>
      </c>
      <c r="N133" s="34"/>
      <c r="O133" s="77"/>
    </row>
    <row r="134" spans="1:15" s="35" customFormat="1" ht="27" customHeight="1" x14ac:dyDescent="0.25">
      <c r="A134" s="160"/>
      <c r="B134" s="161"/>
      <c r="C134" s="161"/>
      <c r="D134" s="167" t="s">
        <v>3</v>
      </c>
      <c r="E134" s="156"/>
      <c r="F134" s="157"/>
      <c r="G134" s="36"/>
      <c r="H134" s="37">
        <f>SUMIF($G$112:$G$132,D134,$H$112:$H$132)</f>
        <v>2011462986</v>
      </c>
      <c r="I134" s="37">
        <f>SUMIF($G$112:$G$132,D134,$I$112:$I$132)</f>
        <v>2011462986</v>
      </c>
      <c r="J134" s="37"/>
      <c r="K134" s="37">
        <f>SUMIF($G$112:$G$132,D134,$K$112:$K$132)</f>
        <v>28386268</v>
      </c>
      <c r="L134" s="37">
        <f>SUMIF($G$112:$G$132,D134,$L$112:$L$132)</f>
        <v>390281.4</v>
      </c>
      <c r="M134" s="37">
        <f>SUMIF($G$112:$G$132,D134,$M$112:$M$132)</f>
        <v>1983242655.2</v>
      </c>
      <c r="N134" s="38"/>
      <c r="O134" s="77"/>
    </row>
    <row r="135" spans="1:15" s="35" customFormat="1" ht="28.5" customHeight="1" x14ac:dyDescent="0.25">
      <c r="A135" s="160"/>
      <c r="B135" s="161"/>
      <c r="C135" s="161"/>
      <c r="D135" s="167" t="s">
        <v>57</v>
      </c>
      <c r="E135" s="156"/>
      <c r="F135" s="157"/>
      <c r="G135" s="36"/>
      <c r="H135" s="37">
        <f>SUMIF($G$112:$G$132,D135,$H$112:$H$132)</f>
        <v>0</v>
      </c>
      <c r="I135" s="37">
        <f>SUMIF($G$102:$G$132,D135,$I$102:$I$132)</f>
        <v>0</v>
      </c>
      <c r="J135" s="37"/>
      <c r="K135" s="37">
        <f>SUMIF($G$102:$G$132,D135,$K$102:$K$132)</f>
        <v>0</v>
      </c>
      <c r="L135" s="37">
        <f>SUMIF($G$102:$G$132,D135,$L$102:$L$132)</f>
        <v>0</v>
      </c>
      <c r="M135" s="37">
        <f>SUMIF($G$102:$G$132,D135,$M$102:$M$132)</f>
        <v>0</v>
      </c>
      <c r="N135" s="38"/>
      <c r="O135" s="77"/>
    </row>
    <row r="136" spans="1:15" s="35" customFormat="1" ht="30" customHeight="1" thickBot="1" x14ac:dyDescent="0.3">
      <c r="A136" s="162"/>
      <c r="B136" s="163"/>
      <c r="C136" s="163"/>
      <c r="D136" s="168" t="s">
        <v>77</v>
      </c>
      <c r="E136" s="169"/>
      <c r="F136" s="170"/>
      <c r="G136" s="39"/>
      <c r="H136" s="40">
        <f>SUMIF($G$112:$G$132,D136,$H$112:$H$132)</f>
        <v>0</v>
      </c>
      <c r="I136" s="40">
        <f>SUMIF($G$102:$G$132,D136,$I$102:$I$132)</f>
        <v>0</v>
      </c>
      <c r="J136" s="40"/>
      <c r="K136" s="40">
        <f>SUMIF($G$102:$G$132,D136,$K$102:$K$132)</f>
        <v>0</v>
      </c>
      <c r="L136" s="40">
        <f>SUMIF($G$102:$G$132,D136,$L$102:$L$132)</f>
        <v>0</v>
      </c>
      <c r="M136" s="40">
        <f>SUMIF($G$102:$G$132,D136,$M$102:$M$132)</f>
        <v>0</v>
      </c>
      <c r="N136" s="41"/>
      <c r="O136" s="77"/>
    </row>
    <row r="137" spans="1:15" s="35" customFormat="1" ht="15.75" customHeight="1" x14ac:dyDescent="0.25">
      <c r="A137" s="171" t="s">
        <v>268</v>
      </c>
      <c r="B137" s="172"/>
      <c r="C137" s="173"/>
      <c r="D137" s="176" t="s">
        <v>35</v>
      </c>
      <c r="E137" s="177"/>
      <c r="F137" s="177"/>
      <c r="G137" s="47"/>
      <c r="H137" s="45">
        <f t="shared" ref="H137:M140" si="8">H47+H58+H69+H98+H108+H133</f>
        <v>324955301.96000004</v>
      </c>
      <c r="I137" s="45">
        <f t="shared" si="8"/>
        <v>125093571</v>
      </c>
      <c r="J137" s="45">
        <f t="shared" si="8"/>
        <v>0</v>
      </c>
      <c r="K137" s="45">
        <f t="shared" si="8"/>
        <v>40583047.501640171</v>
      </c>
      <c r="L137" s="45">
        <f t="shared" si="8"/>
        <v>15986259.295854503</v>
      </c>
      <c r="M137" s="45">
        <f t="shared" si="8"/>
        <v>84510523.498359829</v>
      </c>
      <c r="N137" s="48"/>
      <c r="O137" s="77"/>
    </row>
    <row r="138" spans="1:15" s="35" customFormat="1" ht="17.25" customHeight="1" x14ac:dyDescent="0.25">
      <c r="A138" s="160"/>
      <c r="B138" s="161"/>
      <c r="C138" s="174"/>
      <c r="D138" s="157" t="s">
        <v>3</v>
      </c>
      <c r="E138" s="178"/>
      <c r="F138" s="178"/>
      <c r="G138" s="47"/>
      <c r="H138" s="45">
        <f t="shared" si="8"/>
        <v>174882887740.10001</v>
      </c>
      <c r="I138" s="45">
        <f t="shared" si="8"/>
        <v>193367238672.91</v>
      </c>
      <c r="J138" s="45">
        <f t="shared" si="8"/>
        <v>0</v>
      </c>
      <c r="K138" s="45">
        <f t="shared" si="8"/>
        <v>84517068137.038712</v>
      </c>
      <c r="L138" s="45">
        <f t="shared" si="8"/>
        <v>40191079072.057808</v>
      </c>
      <c r="M138" s="45">
        <f t="shared" si="8"/>
        <v>108850336473.07127</v>
      </c>
      <c r="N138" s="38"/>
      <c r="O138" s="77"/>
    </row>
    <row r="139" spans="1:15" s="35" customFormat="1" ht="15" customHeight="1" x14ac:dyDescent="0.25">
      <c r="A139" s="160"/>
      <c r="B139" s="161"/>
      <c r="C139" s="174"/>
      <c r="D139" s="157" t="s">
        <v>57</v>
      </c>
      <c r="E139" s="178"/>
      <c r="F139" s="178"/>
      <c r="G139" s="36"/>
      <c r="H139" s="45">
        <f t="shared" si="8"/>
        <v>481140620.32000005</v>
      </c>
      <c r="I139" s="45">
        <f t="shared" si="8"/>
        <v>356105587.62</v>
      </c>
      <c r="J139" s="45">
        <f t="shared" si="8"/>
        <v>0</v>
      </c>
      <c r="K139" s="45">
        <f t="shared" si="8"/>
        <v>84395379.559332341</v>
      </c>
      <c r="L139" s="45">
        <f t="shared" si="8"/>
        <v>50819008.8985494</v>
      </c>
      <c r="M139" s="45">
        <f t="shared" si="8"/>
        <v>272160595.94066769</v>
      </c>
      <c r="N139" s="38"/>
      <c r="O139" s="77"/>
    </row>
    <row r="140" spans="1:15" s="35" customFormat="1" ht="25.5" customHeight="1" x14ac:dyDescent="0.25">
      <c r="A140" s="162"/>
      <c r="B140" s="163"/>
      <c r="C140" s="175"/>
      <c r="D140" s="179" t="s">
        <v>77</v>
      </c>
      <c r="E140" s="180"/>
      <c r="F140" s="180"/>
      <c r="G140" s="49"/>
      <c r="H140" s="45">
        <f t="shared" si="8"/>
        <v>31777311969</v>
      </c>
      <c r="I140" s="45">
        <f t="shared" si="8"/>
        <v>31859249643</v>
      </c>
      <c r="J140" s="45">
        <f t="shared" si="8"/>
        <v>0</v>
      </c>
      <c r="K140" s="45">
        <f t="shared" si="8"/>
        <v>10468472425.228352</v>
      </c>
      <c r="L140" s="45">
        <f t="shared" si="8"/>
        <v>3314986633.2419791</v>
      </c>
      <c r="M140" s="45">
        <f t="shared" si="8"/>
        <v>21390777217.771648</v>
      </c>
      <c r="N140" s="50"/>
      <c r="O140" s="77"/>
    </row>
    <row r="141" spans="1:15" s="35" customFormat="1" ht="15" customHeight="1" thickBot="1" x14ac:dyDescent="0.3">
      <c r="A141" s="162"/>
      <c r="B141" s="163"/>
      <c r="C141" s="175"/>
      <c r="D141" s="155" t="s">
        <v>67</v>
      </c>
      <c r="E141" s="156"/>
      <c r="F141" s="157"/>
      <c r="G141" s="49"/>
      <c r="H141" s="45">
        <f>H51</f>
        <v>24086688</v>
      </c>
      <c r="I141" s="45">
        <f t="shared" ref="I141:M141" si="9">I51</f>
        <v>18496922.612149809</v>
      </c>
      <c r="J141" s="45">
        <f t="shared" si="9"/>
        <v>0</v>
      </c>
      <c r="K141" s="45">
        <f t="shared" si="9"/>
        <v>2951863.7028913228</v>
      </c>
      <c r="L141" s="45">
        <f t="shared" si="9"/>
        <v>2051839.9573989229</v>
      </c>
      <c r="M141" s="45">
        <f t="shared" si="9"/>
        <v>15545058.909258485</v>
      </c>
      <c r="N141" s="50"/>
      <c r="O141" s="77"/>
    </row>
    <row r="142" spans="1:15" ht="51" customHeight="1" thickBot="1" x14ac:dyDescent="0.3">
      <c r="A142" s="142">
        <v>94</v>
      </c>
      <c r="B142" s="143" t="s">
        <v>269</v>
      </c>
      <c r="C142" s="144" t="s">
        <v>270</v>
      </c>
      <c r="D142" s="144" t="s">
        <v>119</v>
      </c>
      <c r="E142" s="144" t="s">
        <v>386</v>
      </c>
      <c r="F142" s="144" t="s">
        <v>271</v>
      </c>
      <c r="G142" s="144" t="s">
        <v>3</v>
      </c>
      <c r="H142" s="145">
        <f>834800635300+144000000000</f>
        <v>978800635300</v>
      </c>
      <c r="I142" s="146">
        <f>834798635300+12095027500+14732486250+11774486250+13492000000+25492000000+15482000000+12375860000+12000000000+13000000000+12000000000+15700000000</f>
        <v>992942495300</v>
      </c>
      <c r="J142" s="147">
        <v>1.0000000000000001E-5</v>
      </c>
      <c r="K142" s="146"/>
      <c r="L142" s="146"/>
      <c r="M142" s="148">
        <f>I142-K142</f>
        <v>992942495300</v>
      </c>
      <c r="N142" s="149" t="s">
        <v>82</v>
      </c>
    </row>
    <row r="143" spans="1:15" s="35" customFormat="1" ht="15" customHeight="1" x14ac:dyDescent="0.25">
      <c r="A143" s="25"/>
      <c r="B143" s="25"/>
      <c r="C143" s="25"/>
      <c r="D143" s="51"/>
      <c r="E143" s="51"/>
      <c r="F143" s="51"/>
      <c r="G143" s="52"/>
      <c r="H143" s="53"/>
      <c r="I143" s="53"/>
      <c r="J143" s="53"/>
      <c r="K143" s="53"/>
      <c r="L143" s="53"/>
      <c r="M143" s="53"/>
      <c r="N143" s="53"/>
      <c r="O143" s="77"/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2hnhy85Hze6pXZTujHMyiGA7lE9yapdzAMEgpTAQUbEvX5wkbgVJAYj8efzABUddHb+HHBXm+QO7FFQ7DdcL0Q==" saltValue="/3Se5MhqYIbXZuII16lL6A==" spinCount="100000" sqref="A102:D107 E102:N107 A73:N73" name="Range4"/>
    <protectedRange algorithmName="SHA-512" hashValue="/qDn2zoAPl6XveVGTDHZcWIjR6P6fmKMYiOIx92BVGuoQ3TYOXlsDsoiDSLs1D9Ugjb3A3EixLJ11cGk8PSHvw==" saltValue="LV/JN9wntl8CkZ3QpoEkqA==" spinCount="100000" sqref="N96:N97 A96:D97 E96:L97 E62:L63 A62:D63 N62:N63" name="Nara"/>
    <protectedRange algorithmName="SHA-512" hashValue="R0m7mG/o0t2+7dbQTzM5iQkFX2amgAS+iAGJudQnnweh07e6LDAbSuhvcwbzcp7drP+HIG4d/wHfMCXiBXmkow==" saltValue="hXh6Ce3lteSj/cvmR3BSBw==" spinCount="100000" sqref="A112:L132 N142 A142:L142 N112:N132" name="Narine"/>
    <protectedRange password="C670" sqref="N80:N83 N85:N91 E85:H91 E74:H77 A85:D91 A74:D77 I74:N77 A65:N68 I85:M91 A80:M83" name="Maria"/>
  </protectedRanges>
  <mergeCells count="155">
    <mergeCell ref="A1:N1"/>
    <mergeCell ref="A2:N2"/>
    <mergeCell ref="A5:A6"/>
    <mergeCell ref="B5:B6"/>
    <mergeCell ref="D5:D6"/>
    <mergeCell ref="E5:E6"/>
    <mergeCell ref="N9:N10"/>
    <mergeCell ref="A11:A12"/>
    <mergeCell ref="B11:B12"/>
    <mergeCell ref="C11:C12"/>
    <mergeCell ref="E11:E12"/>
    <mergeCell ref="F11:F12"/>
    <mergeCell ref="J11:J12"/>
    <mergeCell ref="N11:N12"/>
    <mergeCell ref="A9:A10"/>
    <mergeCell ref="B9:B10"/>
    <mergeCell ref="C9:C10"/>
    <mergeCell ref="E9:E10"/>
    <mergeCell ref="F9:F10"/>
    <mergeCell ref="J9:J10"/>
    <mergeCell ref="E15:E16"/>
    <mergeCell ref="F15:F16"/>
    <mergeCell ref="J15:J16"/>
    <mergeCell ref="N15:N16"/>
    <mergeCell ref="N13:N14"/>
    <mergeCell ref="A15:A16"/>
    <mergeCell ref="B15:B16"/>
    <mergeCell ref="C15:C16"/>
    <mergeCell ref="D15:D16"/>
    <mergeCell ref="A13:A14"/>
    <mergeCell ref="B13:B14"/>
    <mergeCell ref="C13:C14"/>
    <mergeCell ref="E13:E14"/>
    <mergeCell ref="F13:F14"/>
    <mergeCell ref="J13:J14"/>
    <mergeCell ref="N17:N18"/>
    <mergeCell ref="A19:A20"/>
    <mergeCell ref="B19:B20"/>
    <mergeCell ref="C19:C22"/>
    <mergeCell ref="D19:D22"/>
    <mergeCell ref="A17:A18"/>
    <mergeCell ref="B17:B18"/>
    <mergeCell ref="C17:C18"/>
    <mergeCell ref="D17:D18"/>
    <mergeCell ref="E17:E18"/>
    <mergeCell ref="F17:F18"/>
    <mergeCell ref="A21:A22"/>
    <mergeCell ref="B21:B22"/>
    <mergeCell ref="E21:E22"/>
    <mergeCell ref="F21:F22"/>
    <mergeCell ref="N21:N22"/>
    <mergeCell ref="E19:E20"/>
    <mergeCell ref="F19:F20"/>
    <mergeCell ref="J19:J22"/>
    <mergeCell ref="N19:N20"/>
    <mergeCell ref="C29:C30"/>
    <mergeCell ref="D29:D30"/>
    <mergeCell ref="C27:C28"/>
    <mergeCell ref="D27:D28"/>
    <mergeCell ref="J23:J24"/>
    <mergeCell ref="N23:N24"/>
    <mergeCell ref="A25:A26"/>
    <mergeCell ref="B25:B26"/>
    <mergeCell ref="E25:E26"/>
    <mergeCell ref="F25:F26"/>
    <mergeCell ref="J25:J26"/>
    <mergeCell ref="N25:N26"/>
    <mergeCell ref="E23:E24"/>
    <mergeCell ref="F23:F24"/>
    <mergeCell ref="A23:A24"/>
    <mergeCell ref="B23:B24"/>
    <mergeCell ref="C23:C26"/>
    <mergeCell ref="D23:D26"/>
    <mergeCell ref="A34:A36"/>
    <mergeCell ref="B34:B36"/>
    <mergeCell ref="C34:C36"/>
    <mergeCell ref="D34:D36"/>
    <mergeCell ref="E34:E36"/>
    <mergeCell ref="E31:E32"/>
    <mergeCell ref="F31:F32"/>
    <mergeCell ref="A31:A32"/>
    <mergeCell ref="B31:B32"/>
    <mergeCell ref="C31:C32"/>
    <mergeCell ref="D31:D32"/>
    <mergeCell ref="B53:B54"/>
    <mergeCell ref="N53:N54"/>
    <mergeCell ref="A56:A57"/>
    <mergeCell ref="B56:B57"/>
    <mergeCell ref="C56:C57"/>
    <mergeCell ref="N56:N57"/>
    <mergeCell ref="N43:N44"/>
    <mergeCell ref="J45:J46"/>
    <mergeCell ref="A47:C51"/>
    <mergeCell ref="D47:F47"/>
    <mergeCell ref="D48:F48"/>
    <mergeCell ref="D49:F49"/>
    <mergeCell ref="D50:F50"/>
    <mergeCell ref="D51:F51"/>
    <mergeCell ref="A43:A44"/>
    <mergeCell ref="B43:B44"/>
    <mergeCell ref="C43:C44"/>
    <mergeCell ref="E43:E44"/>
    <mergeCell ref="F43:F44"/>
    <mergeCell ref="J43:J44"/>
    <mergeCell ref="A58:C61"/>
    <mergeCell ref="D58:F58"/>
    <mergeCell ref="D59:F59"/>
    <mergeCell ref="D60:F60"/>
    <mergeCell ref="D61:F61"/>
    <mergeCell ref="A69:C72"/>
    <mergeCell ref="D69:F69"/>
    <mergeCell ref="D70:F70"/>
    <mergeCell ref="D71:F71"/>
    <mergeCell ref="D72:F72"/>
    <mergeCell ref="N87:N88"/>
    <mergeCell ref="A93:A94"/>
    <mergeCell ref="B93:B94"/>
    <mergeCell ref="C93:C94"/>
    <mergeCell ref="D93:D94"/>
    <mergeCell ref="E93:E94"/>
    <mergeCell ref="F93:F94"/>
    <mergeCell ref="N93:N94"/>
    <mergeCell ref="A76:A77"/>
    <mergeCell ref="B76:B77"/>
    <mergeCell ref="C76:C77"/>
    <mergeCell ref="F76:F77"/>
    <mergeCell ref="N81:N83"/>
    <mergeCell ref="A87:A88"/>
    <mergeCell ref="B87:B88"/>
    <mergeCell ref="C87:C88"/>
    <mergeCell ref="D87:D88"/>
    <mergeCell ref="E87:E88"/>
    <mergeCell ref="A108:C111"/>
    <mergeCell ref="D108:F108"/>
    <mergeCell ref="D109:F109"/>
    <mergeCell ref="D110:F110"/>
    <mergeCell ref="D111:F111"/>
    <mergeCell ref="A98:C101"/>
    <mergeCell ref="D98:F98"/>
    <mergeCell ref="D99:F99"/>
    <mergeCell ref="D100:F100"/>
    <mergeCell ref="D101:F101"/>
    <mergeCell ref="B105:B107"/>
    <mergeCell ref="C105:C107"/>
    <mergeCell ref="D141:F141"/>
    <mergeCell ref="A133:C136"/>
    <mergeCell ref="D133:F133"/>
    <mergeCell ref="D134:F134"/>
    <mergeCell ref="D135:F135"/>
    <mergeCell ref="D136:F136"/>
    <mergeCell ref="A137:C141"/>
    <mergeCell ref="D137:F137"/>
    <mergeCell ref="D138:F138"/>
    <mergeCell ref="D139:F139"/>
    <mergeCell ref="D140:F140"/>
  </mergeCells>
  <conditionalFormatting sqref="I5">
    <cfRule type="cellIs" dxfId="4" priority="5" operator="notEqual">
      <formula>#REF!</formula>
    </cfRule>
  </conditionalFormatting>
  <conditionalFormatting sqref="I95 I6:I33 I35:I41 I43:I45">
    <cfRule type="cellIs" dxfId="3" priority="4" operator="notEqual">
      <formula>#REF!</formula>
    </cfRule>
  </conditionalFormatting>
  <conditionalFormatting sqref="H21">
    <cfRule type="cellIs" dxfId="2" priority="3" operator="notEqual">
      <formula>#REF!</formula>
    </cfRule>
  </conditionalFormatting>
  <conditionalFormatting sqref="I79">
    <cfRule type="cellIs" dxfId="1" priority="2" operator="notEqual">
      <formula>#REF!</formula>
    </cfRule>
  </conditionalFormatting>
  <conditionalFormatting sqref="I46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9" sqref="F9"/>
    </sheetView>
  </sheetViews>
  <sheetFormatPr defaultColWidth="25.85546875" defaultRowHeight="15.75" x14ac:dyDescent="0.25"/>
  <cols>
    <col min="1" max="1" width="33.42578125" style="12" customWidth="1"/>
    <col min="2" max="2" width="28.5703125" style="12" customWidth="1"/>
    <col min="3" max="3" width="35.85546875" style="12" customWidth="1"/>
    <col min="4" max="4" width="32.42578125" style="12" customWidth="1"/>
    <col min="5" max="5" width="28.85546875" style="12" customWidth="1"/>
    <col min="6" max="6" width="33.5703125" style="12" customWidth="1"/>
    <col min="7" max="7" width="44.7109375" style="12" customWidth="1"/>
    <col min="8" max="16384" width="25.85546875" style="12"/>
  </cols>
  <sheetData>
    <row r="1" spans="1:5" ht="18.75" x14ac:dyDescent="0.25">
      <c r="A1" s="229" t="s">
        <v>278</v>
      </c>
      <c r="B1" s="229"/>
      <c r="C1" s="229"/>
      <c r="D1" s="229"/>
      <c r="E1" s="229"/>
    </row>
    <row r="2" spans="1:5" ht="61.5" customHeight="1" x14ac:dyDescent="0.25">
      <c r="A2" s="229" t="s">
        <v>406</v>
      </c>
      <c r="B2" s="229"/>
      <c r="C2" s="229"/>
      <c r="D2" s="229"/>
      <c r="E2" s="229"/>
    </row>
    <row r="5" spans="1:5" ht="60.75" x14ac:dyDescent="0.25">
      <c r="A5" s="15" t="s">
        <v>279</v>
      </c>
      <c r="B5" s="15" t="s">
        <v>280</v>
      </c>
      <c r="C5" s="15" t="s">
        <v>281</v>
      </c>
      <c r="D5" s="15" t="s">
        <v>282</v>
      </c>
      <c r="E5" s="15" t="s">
        <v>306</v>
      </c>
    </row>
    <row r="6" spans="1:5" ht="40.5" x14ac:dyDescent="0.25">
      <c r="A6" s="15" t="s">
        <v>284</v>
      </c>
      <c r="B6" s="15" t="s">
        <v>285</v>
      </c>
      <c r="C6" s="15" t="s">
        <v>286</v>
      </c>
      <c r="D6" s="17">
        <v>2000000000</v>
      </c>
      <c r="E6" s="17">
        <f t="shared" ref="E6:E14" si="0">D6</f>
        <v>2000000000</v>
      </c>
    </row>
    <row r="7" spans="1:5" ht="40.5" x14ac:dyDescent="0.25">
      <c r="A7" s="15" t="s">
        <v>287</v>
      </c>
      <c r="B7" s="15" t="s">
        <v>283</v>
      </c>
      <c r="C7" s="15" t="s">
        <v>289</v>
      </c>
      <c r="D7" s="17">
        <v>825000000</v>
      </c>
      <c r="E7" s="17">
        <v>756250000</v>
      </c>
    </row>
    <row r="8" spans="1:5" ht="40.5" x14ac:dyDescent="0.25">
      <c r="A8" s="15" t="s">
        <v>290</v>
      </c>
      <c r="B8" s="15" t="s">
        <v>283</v>
      </c>
      <c r="C8" s="15" t="s">
        <v>291</v>
      </c>
      <c r="D8" s="17">
        <v>265000000</v>
      </c>
      <c r="E8" s="17">
        <f t="shared" si="0"/>
        <v>265000000</v>
      </c>
    </row>
    <row r="9" spans="1:5" ht="101.25" x14ac:dyDescent="0.25">
      <c r="A9" s="15" t="s">
        <v>297</v>
      </c>
      <c r="B9" s="15" t="s">
        <v>301</v>
      </c>
      <c r="C9" s="15" t="s">
        <v>302</v>
      </c>
      <c r="D9" s="16">
        <v>103500000</v>
      </c>
      <c r="E9" s="17">
        <f t="shared" si="0"/>
        <v>103500000</v>
      </c>
    </row>
    <row r="10" spans="1:5" ht="101.25" x14ac:dyDescent="0.25">
      <c r="A10" s="15" t="s">
        <v>298</v>
      </c>
      <c r="B10" s="15" t="s">
        <v>301</v>
      </c>
      <c r="C10" s="15" t="s">
        <v>303</v>
      </c>
      <c r="D10" s="16">
        <v>100000000</v>
      </c>
      <c r="E10" s="17">
        <f t="shared" si="0"/>
        <v>100000000</v>
      </c>
    </row>
    <row r="11" spans="1:5" ht="101.25" x14ac:dyDescent="0.25">
      <c r="A11" s="227" t="s">
        <v>299</v>
      </c>
      <c r="B11" s="15" t="s">
        <v>301</v>
      </c>
      <c r="C11" s="15" t="s">
        <v>304</v>
      </c>
      <c r="D11" s="16">
        <v>253500000</v>
      </c>
      <c r="E11" s="17">
        <f t="shared" si="0"/>
        <v>253500000</v>
      </c>
    </row>
    <row r="12" spans="1:5" ht="40.5" x14ac:dyDescent="0.25">
      <c r="A12" s="228"/>
      <c r="B12" s="15" t="s">
        <v>283</v>
      </c>
      <c r="C12" s="15" t="s">
        <v>304</v>
      </c>
      <c r="D12" s="16">
        <v>430182000</v>
      </c>
      <c r="E12" s="17">
        <f t="shared" si="0"/>
        <v>430182000</v>
      </c>
    </row>
    <row r="13" spans="1:5" ht="60.75" x14ac:dyDescent="0.25">
      <c r="A13" s="15" t="s">
        <v>300</v>
      </c>
      <c r="B13" s="15" t="s">
        <v>283</v>
      </c>
      <c r="C13" s="15" t="s">
        <v>305</v>
      </c>
      <c r="D13" s="16">
        <v>127200000</v>
      </c>
      <c r="E13" s="17">
        <f t="shared" si="0"/>
        <v>127200000</v>
      </c>
    </row>
    <row r="14" spans="1:5" ht="60.75" x14ac:dyDescent="0.25">
      <c r="A14" s="18" t="s">
        <v>388</v>
      </c>
      <c r="B14" s="15" t="s">
        <v>387</v>
      </c>
      <c r="C14" s="15" t="s">
        <v>389</v>
      </c>
      <c r="D14" s="16">
        <v>500000000</v>
      </c>
      <c r="E14" s="17">
        <f t="shared" si="0"/>
        <v>500000000</v>
      </c>
    </row>
    <row r="15" spans="1:5" ht="60.75" x14ac:dyDescent="0.25">
      <c r="A15" s="18" t="s">
        <v>391</v>
      </c>
      <c r="B15" s="15" t="s">
        <v>283</v>
      </c>
      <c r="C15" s="15" t="s">
        <v>393</v>
      </c>
      <c r="D15" s="16">
        <v>234990000</v>
      </c>
      <c r="E15" s="16">
        <v>234990000</v>
      </c>
    </row>
    <row r="16" spans="1:5" ht="40.5" x14ac:dyDescent="0.25">
      <c r="A16" s="19" t="s">
        <v>403</v>
      </c>
      <c r="B16" s="20" t="s">
        <v>392</v>
      </c>
      <c r="C16" s="15" t="s">
        <v>394</v>
      </c>
      <c r="D16" s="16">
        <v>450000000</v>
      </c>
      <c r="E16" s="16">
        <v>450000000</v>
      </c>
    </row>
    <row r="17" spans="1:9" ht="60.75" x14ac:dyDescent="0.25">
      <c r="A17" s="19" t="s">
        <v>400</v>
      </c>
      <c r="B17" s="15" t="s">
        <v>387</v>
      </c>
      <c r="C17" s="15" t="s">
        <v>407</v>
      </c>
      <c r="D17" s="16">
        <v>1248200000</v>
      </c>
      <c r="E17" s="16">
        <v>1248200000</v>
      </c>
    </row>
    <row r="18" spans="1:9" ht="40.5" x14ac:dyDescent="0.25">
      <c r="A18" s="19" t="s">
        <v>401</v>
      </c>
      <c r="B18" s="15" t="s">
        <v>283</v>
      </c>
      <c r="C18" s="15" t="s">
        <v>408</v>
      </c>
      <c r="D18" s="16">
        <v>139373675</v>
      </c>
      <c r="E18" s="16">
        <v>139373675</v>
      </c>
    </row>
    <row r="19" spans="1:9" ht="20.25" x14ac:dyDescent="0.25">
      <c r="A19" s="19" t="s">
        <v>402</v>
      </c>
      <c r="B19" s="15" t="s">
        <v>404</v>
      </c>
      <c r="C19" s="15" t="s">
        <v>407</v>
      </c>
      <c r="D19" s="16">
        <v>900000000</v>
      </c>
      <c r="E19" s="16">
        <v>900000000</v>
      </c>
    </row>
    <row r="20" spans="1:9" ht="40.5" x14ac:dyDescent="0.25">
      <c r="A20" s="19" t="s">
        <v>403</v>
      </c>
      <c r="B20" s="15" t="s">
        <v>405</v>
      </c>
      <c r="C20" s="15" t="s">
        <v>409</v>
      </c>
      <c r="D20" s="16">
        <v>250000000</v>
      </c>
      <c r="E20" s="16">
        <v>250000000</v>
      </c>
    </row>
    <row r="21" spans="1:9" ht="20.25" x14ac:dyDescent="0.25">
      <c r="A21" s="21" t="s">
        <v>288</v>
      </c>
      <c r="B21" s="21"/>
      <c r="C21" s="21"/>
      <c r="D21" s="22">
        <f>SUM(D6:D20)</f>
        <v>7826945675</v>
      </c>
      <c r="E21" s="22">
        <f>SUM(E6:E20)</f>
        <v>7758195675</v>
      </c>
    </row>
    <row r="24" spans="1:9" x14ac:dyDescent="0.25">
      <c r="A24" s="13"/>
      <c r="B24" s="13"/>
      <c r="C24" s="13"/>
      <c r="D24" s="13"/>
      <c r="E24" s="13"/>
      <c r="F24" s="13"/>
      <c r="G24" s="13"/>
      <c r="H24" s="14"/>
      <c r="I24" s="14"/>
    </row>
    <row r="25" spans="1:9" x14ac:dyDescent="0.25">
      <c r="A25" s="13"/>
      <c r="B25" s="13"/>
      <c r="C25" s="13"/>
      <c r="D25" s="13"/>
      <c r="E25" s="13"/>
      <c r="F25" s="13"/>
      <c r="G25" s="13"/>
      <c r="H25" s="14"/>
      <c r="I25" s="14"/>
    </row>
    <row r="26" spans="1:9" x14ac:dyDescent="0.25">
      <c r="A26" s="13"/>
      <c r="B26" s="13"/>
      <c r="C26" s="13"/>
      <c r="D26" s="13"/>
      <c r="E26" s="13"/>
      <c r="F26" s="13"/>
      <c r="G26" s="13"/>
      <c r="H26" s="14"/>
      <c r="I26" s="14"/>
    </row>
    <row r="27" spans="1:9" x14ac:dyDescent="0.25">
      <c r="A27" s="13"/>
      <c r="B27" s="13"/>
      <c r="C27" s="13"/>
      <c r="D27" s="13"/>
      <c r="E27" s="13"/>
      <c r="F27" s="13"/>
      <c r="G27" s="13"/>
      <c r="H27" s="14"/>
      <c r="I27" s="14"/>
    </row>
    <row r="28" spans="1:9" x14ac:dyDescent="0.25">
      <c r="A28" s="13"/>
      <c r="B28" s="13"/>
      <c r="C28" s="13"/>
      <c r="D28" s="13"/>
      <c r="E28" s="13"/>
      <c r="F28" s="13"/>
      <c r="G28" s="13"/>
      <c r="H28" s="14"/>
      <c r="I28" s="14"/>
    </row>
    <row r="29" spans="1:9" x14ac:dyDescent="0.25">
      <c r="A29" s="13"/>
      <c r="B29" s="13"/>
      <c r="C29" s="13"/>
      <c r="D29" s="13"/>
      <c r="E29" s="13"/>
      <c r="F29" s="13"/>
      <c r="G29" s="13"/>
      <c r="H29" s="14"/>
      <c r="I29" s="14"/>
    </row>
    <row r="30" spans="1:9" x14ac:dyDescent="0.25">
      <c r="A30" s="13"/>
      <c r="B30" s="13"/>
      <c r="C30" s="13"/>
      <c r="D30" s="13"/>
      <c r="E30" s="13"/>
      <c r="F30" s="13"/>
      <c r="G30" s="13"/>
      <c r="H30" s="14"/>
      <c r="I30" s="14"/>
    </row>
  </sheetData>
  <mergeCells count="3">
    <mergeCell ref="A11:A12"/>
    <mergeCell ref="A2:E2"/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="113" zoomScaleNormal="85" workbookViewId="0">
      <pane ySplit="5" topLeftCell="A6" activePane="bottomLeft" state="frozen"/>
      <selection pane="bottomLeft" activeCell="A10" sqref="A10"/>
    </sheetView>
  </sheetViews>
  <sheetFormatPr defaultColWidth="9.140625" defaultRowHeight="13.5" x14ac:dyDescent="0.25"/>
  <cols>
    <col min="1" max="1" width="54.42578125" style="230" customWidth="1"/>
    <col min="2" max="2" width="59.5703125" style="230" customWidth="1"/>
    <col min="3" max="3" width="50.5703125" style="230" customWidth="1"/>
    <col min="4" max="4" width="49.140625" style="230" customWidth="1"/>
    <col min="5" max="5" width="29.140625" style="230" customWidth="1"/>
    <col min="6" max="6" width="20" style="230" customWidth="1"/>
    <col min="7" max="7" width="24.7109375" style="230" customWidth="1"/>
    <col min="8" max="8" width="24.140625" style="231" customWidth="1"/>
    <col min="9" max="12" width="12.7109375" style="231" customWidth="1"/>
    <col min="13" max="18" width="9.140625" style="231"/>
    <col min="19" max="16384" width="9.140625" style="230"/>
  </cols>
  <sheetData>
    <row r="1" spans="1:18" ht="9" customHeight="1" x14ac:dyDescent="0.25"/>
    <row r="2" spans="1:18" s="235" customFormat="1" ht="17.25" customHeight="1" x14ac:dyDescent="0.25">
      <c r="A2" s="232" t="s">
        <v>410</v>
      </c>
      <c r="B2" s="232"/>
      <c r="C2" s="233" t="s">
        <v>411</v>
      </c>
      <c r="D2" s="233"/>
      <c r="E2" s="233" t="s">
        <v>412</v>
      </c>
      <c r="F2" s="233"/>
      <c r="G2" s="233"/>
      <c r="H2" s="233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18" ht="18" customHeight="1" x14ac:dyDescent="0.25"/>
    <row r="4" spans="1:18" ht="16.5" customHeight="1" x14ac:dyDescent="0.25">
      <c r="A4" s="236" t="s">
        <v>413</v>
      </c>
      <c r="B4" s="236"/>
      <c r="C4" s="236" t="s">
        <v>414</v>
      </c>
      <c r="D4" s="236"/>
      <c r="E4" s="237" t="s">
        <v>415</v>
      </c>
      <c r="F4" s="237"/>
      <c r="G4" s="238">
        <f>SUM(G6:G20)</f>
        <v>7826945675</v>
      </c>
      <c r="H4" s="253">
        <f>SUM(H6:H20)</f>
        <v>7758195675</v>
      </c>
    </row>
    <row r="5" spans="1:18" ht="16.5" customHeight="1" x14ac:dyDescent="0.25">
      <c r="A5" s="239" t="s">
        <v>416</v>
      </c>
      <c r="B5" s="239"/>
      <c r="C5" s="239" t="s">
        <v>417</v>
      </c>
      <c r="D5" s="239"/>
      <c r="E5" s="239" t="s">
        <v>418</v>
      </c>
      <c r="F5" s="239"/>
      <c r="G5" s="240"/>
      <c r="H5" s="243"/>
    </row>
    <row r="6" spans="1:18" ht="30.75" customHeight="1" x14ac:dyDescent="0.25">
      <c r="A6" s="241" t="s">
        <v>419</v>
      </c>
      <c r="B6" s="242" t="s">
        <v>283</v>
      </c>
      <c r="C6" s="241" t="s">
        <v>420</v>
      </c>
      <c r="D6" s="242" t="s">
        <v>421</v>
      </c>
      <c r="E6" s="241" t="s">
        <v>422</v>
      </c>
      <c r="F6" s="242" t="s">
        <v>423</v>
      </c>
      <c r="G6" s="252">
        <v>825000000</v>
      </c>
      <c r="H6" s="243">
        <v>756250000</v>
      </c>
    </row>
    <row r="7" spans="1:18" ht="27.75" customHeight="1" x14ac:dyDescent="0.25">
      <c r="A7" s="241" t="s">
        <v>401</v>
      </c>
      <c r="B7" s="242" t="s">
        <v>283</v>
      </c>
      <c r="C7" s="241" t="s">
        <v>424</v>
      </c>
      <c r="D7" s="242" t="s">
        <v>421</v>
      </c>
      <c r="E7" s="241" t="s">
        <v>425</v>
      </c>
      <c r="F7" s="242" t="s">
        <v>423</v>
      </c>
      <c r="G7" s="252">
        <v>265000000</v>
      </c>
      <c r="H7" s="243">
        <f>265000000</f>
        <v>265000000</v>
      </c>
    </row>
    <row r="8" spans="1:18" ht="45.75" customHeight="1" x14ac:dyDescent="0.25">
      <c r="A8" s="241" t="s">
        <v>426</v>
      </c>
      <c r="B8" s="244" t="s">
        <v>283</v>
      </c>
      <c r="C8" s="241" t="s">
        <v>427</v>
      </c>
      <c r="D8" s="242" t="s">
        <v>421</v>
      </c>
      <c r="E8" s="241" t="s">
        <v>428</v>
      </c>
      <c r="F8" s="242" t="s">
        <v>423</v>
      </c>
      <c r="G8" s="252">
        <v>127200000.00000001</v>
      </c>
      <c r="H8" s="243">
        <v>127200000.00000001</v>
      </c>
    </row>
    <row r="9" spans="1:18" ht="30.75" customHeight="1" x14ac:dyDescent="0.25">
      <c r="A9" s="241" t="s">
        <v>429</v>
      </c>
      <c r="B9" s="244" t="s">
        <v>283</v>
      </c>
      <c r="C9" s="241" t="s">
        <v>430</v>
      </c>
      <c r="D9" s="242" t="s">
        <v>421</v>
      </c>
      <c r="E9" s="241" t="s">
        <v>431</v>
      </c>
      <c r="F9" s="242" t="s">
        <v>423</v>
      </c>
      <c r="G9" s="252">
        <v>430182000</v>
      </c>
      <c r="H9" s="243">
        <v>430182000</v>
      </c>
    </row>
    <row r="10" spans="1:18" ht="36.75" customHeight="1" x14ac:dyDescent="0.25">
      <c r="A10" s="241" t="s">
        <v>432</v>
      </c>
      <c r="B10" s="242" t="s">
        <v>433</v>
      </c>
      <c r="C10" s="241" t="s">
        <v>434</v>
      </c>
      <c r="D10" s="242" t="s">
        <v>435</v>
      </c>
      <c r="E10" s="241" t="s">
        <v>436</v>
      </c>
      <c r="F10" s="242" t="s">
        <v>437</v>
      </c>
      <c r="G10" s="252">
        <v>103500000</v>
      </c>
      <c r="H10" s="243">
        <v>103500000</v>
      </c>
    </row>
    <row r="11" spans="1:18" ht="30.75" customHeight="1" x14ac:dyDescent="0.25">
      <c r="A11" s="241" t="s">
        <v>438</v>
      </c>
      <c r="B11" s="242" t="s">
        <v>433</v>
      </c>
      <c r="C11" s="241" t="s">
        <v>439</v>
      </c>
      <c r="D11" s="242" t="s">
        <v>435</v>
      </c>
      <c r="E11" s="241" t="s">
        <v>440</v>
      </c>
      <c r="F11" s="242" t="s">
        <v>437</v>
      </c>
      <c r="G11" s="243">
        <v>100000000</v>
      </c>
      <c r="H11" s="243">
        <v>100000000</v>
      </c>
    </row>
    <row r="12" spans="1:18" ht="26.25" customHeight="1" x14ac:dyDescent="0.25">
      <c r="A12" s="241" t="s">
        <v>429</v>
      </c>
      <c r="B12" s="242" t="s">
        <v>433</v>
      </c>
      <c r="C12" s="241" t="s">
        <v>430</v>
      </c>
      <c r="D12" s="242" t="s">
        <v>435</v>
      </c>
      <c r="E12" s="241" t="s">
        <v>431</v>
      </c>
      <c r="F12" s="242" t="s">
        <v>437</v>
      </c>
      <c r="G12" s="243">
        <v>253500000</v>
      </c>
      <c r="H12" s="243">
        <v>253500000</v>
      </c>
    </row>
    <row r="13" spans="1:18" ht="26.25" customHeight="1" x14ac:dyDescent="0.25">
      <c r="A13" s="241" t="s">
        <v>400</v>
      </c>
      <c r="B13" s="242" t="s">
        <v>285</v>
      </c>
      <c r="C13" s="241" t="s">
        <v>441</v>
      </c>
      <c r="D13" s="242" t="s">
        <v>442</v>
      </c>
      <c r="E13" s="241" t="s">
        <v>443</v>
      </c>
      <c r="F13" s="242" t="s">
        <v>444</v>
      </c>
      <c r="G13" s="243">
        <v>2000000000</v>
      </c>
      <c r="H13" s="243">
        <v>2000000000</v>
      </c>
    </row>
    <row r="14" spans="1:18" ht="43.5" customHeight="1" x14ac:dyDescent="0.25">
      <c r="A14" s="241" t="s">
        <v>388</v>
      </c>
      <c r="B14" s="242" t="s">
        <v>445</v>
      </c>
      <c r="C14" s="241" t="s">
        <v>446</v>
      </c>
      <c r="D14" s="242" t="s">
        <v>447</v>
      </c>
      <c r="E14" s="241" t="s">
        <v>448</v>
      </c>
      <c r="F14" s="242" t="s">
        <v>449</v>
      </c>
      <c r="G14" s="243">
        <v>500000000</v>
      </c>
      <c r="H14" s="243">
        <v>500000000</v>
      </c>
    </row>
    <row r="15" spans="1:18" ht="36.75" customHeight="1" x14ac:dyDescent="0.25">
      <c r="A15" s="241" t="s">
        <v>450</v>
      </c>
      <c r="B15" s="244" t="s">
        <v>283</v>
      </c>
      <c r="C15" s="241" t="s">
        <v>451</v>
      </c>
      <c r="D15" s="242" t="s">
        <v>421</v>
      </c>
      <c r="E15" s="241" t="s">
        <v>452</v>
      </c>
      <c r="F15" s="242" t="s">
        <v>423</v>
      </c>
      <c r="G15" s="243">
        <v>234990000</v>
      </c>
      <c r="H15" s="243">
        <v>234990000</v>
      </c>
    </row>
    <row r="16" spans="1:18" ht="36.75" customHeight="1" x14ac:dyDescent="0.25">
      <c r="A16" s="241" t="s">
        <v>403</v>
      </c>
      <c r="B16" s="244" t="s">
        <v>392</v>
      </c>
      <c r="C16" s="241" t="s">
        <v>453</v>
      </c>
      <c r="D16" s="242" t="s">
        <v>454</v>
      </c>
      <c r="E16" s="241" t="s">
        <v>455</v>
      </c>
      <c r="F16" s="242" t="s">
        <v>456</v>
      </c>
      <c r="G16" s="243">
        <v>450000000</v>
      </c>
      <c r="H16" s="243">
        <v>450000000</v>
      </c>
    </row>
    <row r="17" spans="1:12" ht="50.25" customHeight="1" x14ac:dyDescent="0.25">
      <c r="A17" s="241" t="s">
        <v>400</v>
      </c>
      <c r="B17" s="244" t="s">
        <v>387</v>
      </c>
      <c r="C17" s="241" t="s">
        <v>446</v>
      </c>
      <c r="D17" s="242" t="s">
        <v>447</v>
      </c>
      <c r="E17" s="241" t="s">
        <v>443</v>
      </c>
      <c r="F17" s="242" t="s">
        <v>449</v>
      </c>
      <c r="G17" s="243">
        <v>1248200000</v>
      </c>
      <c r="H17" s="243">
        <v>1248200000</v>
      </c>
    </row>
    <row r="18" spans="1:12" ht="30.75" customHeight="1" x14ac:dyDescent="0.25">
      <c r="A18" s="241" t="s">
        <v>401</v>
      </c>
      <c r="B18" s="244" t="s">
        <v>283</v>
      </c>
      <c r="C18" s="241" t="s">
        <v>424</v>
      </c>
      <c r="D18" s="242" t="s">
        <v>421</v>
      </c>
      <c r="E18" s="241" t="s">
        <v>425</v>
      </c>
      <c r="F18" s="242" t="s">
        <v>423</v>
      </c>
      <c r="G18" s="243">
        <v>139373675</v>
      </c>
      <c r="H18" s="243">
        <v>139373675</v>
      </c>
      <c r="I18" s="245"/>
      <c r="J18" s="245"/>
      <c r="K18" s="245"/>
      <c r="L18" s="245"/>
    </row>
    <row r="19" spans="1:12" ht="27.75" customHeight="1" x14ac:dyDescent="0.25">
      <c r="A19" s="241" t="s">
        <v>402</v>
      </c>
      <c r="B19" s="244" t="s">
        <v>404</v>
      </c>
      <c r="C19" s="246" t="s">
        <v>457</v>
      </c>
      <c r="D19" s="244" t="s">
        <v>458</v>
      </c>
      <c r="E19" s="246" t="s">
        <v>459</v>
      </c>
      <c r="F19" s="242" t="s">
        <v>460</v>
      </c>
      <c r="G19" s="243">
        <v>900000000</v>
      </c>
      <c r="H19" s="243">
        <v>900000000</v>
      </c>
      <c r="I19" s="245"/>
      <c r="J19" s="245"/>
      <c r="K19" s="245"/>
      <c r="L19" s="245"/>
    </row>
    <row r="20" spans="1:12" ht="38.25" customHeight="1" x14ac:dyDescent="0.25">
      <c r="A20" s="241" t="s">
        <v>403</v>
      </c>
      <c r="B20" s="244" t="s">
        <v>405</v>
      </c>
      <c r="C20" s="241" t="s">
        <v>453</v>
      </c>
      <c r="D20" s="244" t="s">
        <v>461</v>
      </c>
      <c r="E20" s="241" t="s">
        <v>455</v>
      </c>
      <c r="F20" s="242" t="s">
        <v>462</v>
      </c>
      <c r="G20" s="243">
        <v>250000000</v>
      </c>
      <c r="H20" s="243">
        <v>250000000</v>
      </c>
      <c r="I20" s="245"/>
      <c r="J20" s="245"/>
      <c r="K20" s="245"/>
      <c r="L20" s="245"/>
    </row>
    <row r="21" spans="1:12" ht="36" customHeight="1" x14ac:dyDescent="0.25">
      <c r="A21" s="247" t="s">
        <v>463</v>
      </c>
      <c r="B21" s="247"/>
      <c r="C21" s="247" t="s">
        <v>464</v>
      </c>
      <c r="D21" s="247"/>
      <c r="E21" s="247" t="s">
        <v>465</v>
      </c>
      <c r="F21" s="247"/>
      <c r="G21" s="248" t="s">
        <v>466</v>
      </c>
      <c r="H21" s="249"/>
    </row>
    <row r="22" spans="1:12" ht="35.1" customHeight="1" x14ac:dyDescent="0.25">
      <c r="A22" s="250" t="s">
        <v>467</v>
      </c>
      <c r="B22" s="250"/>
      <c r="C22" s="250" t="s">
        <v>468</v>
      </c>
      <c r="D22" s="250"/>
      <c r="E22" s="250" t="s">
        <v>469</v>
      </c>
      <c r="F22" s="250"/>
      <c r="G22" s="251">
        <v>0</v>
      </c>
      <c r="H22" s="249"/>
    </row>
  </sheetData>
  <mergeCells count="15">
    <mergeCell ref="A22:B22"/>
    <mergeCell ref="C22:D22"/>
    <mergeCell ref="E22:F22"/>
    <mergeCell ref="A5:B5"/>
    <mergeCell ref="C5:D5"/>
    <mergeCell ref="E5:F5"/>
    <mergeCell ref="A21:B21"/>
    <mergeCell ref="C21:D21"/>
    <mergeCell ref="E21:F21"/>
    <mergeCell ref="A2:B2"/>
    <mergeCell ref="C2:D2"/>
    <mergeCell ref="E2:H2"/>
    <mergeCell ref="A4:B4"/>
    <mergeCell ref="C4:D4"/>
    <mergeCell ref="E4:F4"/>
  </mergeCells>
  <printOptions horizontalCentered="1"/>
  <pageMargins left="0.5" right="0.5" top="0.25" bottom="0.25" header="7.0000000000000007E-2" footer="0.16"/>
  <pageSetup paperSize="9" scale="68" orientation="landscape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Պարտավորություններ</vt:lpstr>
      <vt:lpstr>բյուջետային երաշխիք</vt:lpstr>
      <vt:lpstr>Government Guarantees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2022-11-07T07:50:52Z</cp:lastPrinted>
  <dcterms:created xsi:type="dcterms:W3CDTF">2021-02-19T11:33:22Z</dcterms:created>
  <dcterms:modified xsi:type="dcterms:W3CDTF">2022-12-06T07:57:28Z</dcterms:modified>
  <cp:keywords>https://mul2-minfin.gov.am/tasks/560971/oneclick/Hraparakman-Partav. 11.22.xlsx?token=a438eb71f2ffc1ef25fd387816e745da</cp:keywords>
</cp:coreProperties>
</file>